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ssumptions" sheetId="1" state="visible" r:id="rId1"/>
    <sheet name="Construction Phase" sheetId="2" state="visible" r:id="rId2"/>
    <sheet name="Operations" sheetId="3" state="visible" r:id="rId3"/>
    <sheet name="Debt Sizing" sheetId="4" state="visible" r:id="rId4"/>
    <sheet name="DSCR &amp; Covenants" sheetId="5" state="visible" r:id="rId5"/>
    <sheet name="Cash Flow" sheetId="6" state="visible" r:id="rId6"/>
    <sheet name="Dashboard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,##0.0"/>
    <numFmt numFmtId="165" formatCode="0.0%"/>
    <numFmt numFmtId="166" formatCode="0.00x"/>
    <numFmt numFmtId="167" formatCode="DD-MMM-YY"/>
  </numFmts>
  <fonts count="6">
    <font>
      <name val="Calibri"/>
      <family val="2"/>
      <color theme="1"/>
      <sz val="11"/>
      <scheme val="minor"/>
    </font>
    <font>
      <b val="1"/>
      <sz val="14"/>
    </font>
    <font>
      <b val="1"/>
    </font>
    <font>
      <color rgb="000000FF"/>
    </font>
    <font>
      <color rgb="00000000"/>
    </font>
    <font>
      <b val="1"/>
      <color rgb="00FFFFFF"/>
    </font>
  </fonts>
  <fills count="7">
    <fill>
      <patternFill/>
    </fill>
    <fill>
      <patternFill patternType="gray125"/>
    </fill>
    <fill>
      <patternFill patternType="solid">
        <fgColor rgb="00D9E2F3"/>
      </patternFill>
    </fill>
    <fill>
      <patternFill patternType="solid">
        <fgColor rgb="00E2EFDA"/>
      </patternFill>
    </fill>
    <fill>
      <patternFill patternType="solid">
        <fgColor rgb="001F4E79"/>
      </patternFill>
    </fill>
    <fill>
      <patternFill patternType="solid">
        <fgColor rgb="00FCE4D6"/>
      </patternFill>
    </fill>
    <fill>
      <patternFill patternType="solid">
        <fgColor rgb="00C6EFC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6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  <xf numFmtId="0" fontId="0" fillId="2" borderId="0" pivotButton="0" quotePrefix="0" xfId="0"/>
    <xf numFmtId="0" fontId="3" fillId="0" borderId="0" pivotButton="0" quotePrefix="0" xfId="0"/>
    <xf numFmtId="1" fontId="3" fillId="0" borderId="0" pivotButton="0" quotePrefix="0" xfId="0"/>
    <xf numFmtId="164" fontId="3" fillId="0" borderId="0" pivotButton="0" quotePrefix="0" xfId="0"/>
    <xf numFmtId="165" fontId="3" fillId="0" borderId="0" pivotButton="0" quotePrefix="0" xfId="0"/>
    <xf numFmtId="164" fontId="4" fillId="0" borderId="0" pivotButton="0" quotePrefix="0" xfId="0"/>
    <xf numFmtId="164" fontId="2" fillId="0" borderId="0" pivotButton="0" quotePrefix="0" xfId="0"/>
    <xf numFmtId="164" fontId="2" fillId="3" borderId="0" pivotButton="0" quotePrefix="0" xfId="0"/>
    <xf numFmtId="165" fontId="4" fillId="0" borderId="0" pivotButton="0" quotePrefix="0" xfId="0"/>
    <xf numFmtId="165" fontId="2" fillId="0" borderId="0" pivotButton="0" quotePrefix="0" xfId="0"/>
    <xf numFmtId="166" fontId="3" fillId="0" borderId="0" pivotButton="0" quotePrefix="0" xfId="0"/>
    <xf numFmtId="0" fontId="2" fillId="0" borderId="0" pivotButton="0" quotePrefix="0" xfId="0"/>
    <xf numFmtId="0" fontId="5" fillId="4" borderId="0" applyAlignment="1" pivotButton="0" quotePrefix="0" xfId="0">
      <alignment horizontal="center"/>
    </xf>
    <xf numFmtId="167" fontId="3" fillId="0" borderId="0" applyAlignment="1" pivotButton="0" quotePrefix="0" xfId="0">
      <alignment horizontal="center"/>
    </xf>
    <xf numFmtId="164" fontId="2" fillId="5" borderId="0" pivotButton="0" quotePrefix="0" xfId="0"/>
    <xf numFmtId="0" fontId="4" fillId="0" borderId="0" pivotButton="0" quotePrefix="0" xfId="0"/>
    <xf numFmtId="166" fontId="2" fillId="3" borderId="0" pivotButton="0" quotePrefix="0" xfId="0"/>
    <xf numFmtId="166" fontId="4" fillId="0" borderId="0" pivotButton="0" quotePrefix="0" xfId="0"/>
    <xf numFmtId="166" fontId="2" fillId="0" borderId="0" pivotButton="0" quotePrefix="0" xfId="0"/>
    <xf numFmtId="166" fontId="2" fillId="6" borderId="0" pivotButton="0" quotePrefix="0" xfId="0"/>
    <xf numFmtId="165" fontId="2" fillId="3" borderId="0" pivotButton="0" quotePrefix="0" xfId="0"/>
    <xf numFmtId="0" fontId="2" fillId="3" borderId="0" pivotButton="0" quotePrefix="0" xfId="0"/>
    <xf numFmtId="0" fontId="5" fillId="4" borderId="0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charts/chart1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CFADS — First 8 Ops Years ($M)</a:t>
            </a:r>
          </a:p>
        </rich>
      </tx>
    </title>
    <plotArea>
      <barChart>
        <barDir val="col"/>
        <grouping val="clustered"/>
        <ser>
          <idx val="0"/>
          <order val="0"/>
          <spPr>
            <a:ln>
              <a:prstDash val="solid"/>
            </a:ln>
          </spPr>
          <cat>
            <numRef>
              <f>'Dashboard'!$B$18:$I$18</f>
            </numRef>
          </cat>
          <val>
            <numRef>
              <f>'Dashboard'!$B$19:$I$19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/>
              <a:p>
                <a:pPr>
                  <a:defRPr/>
                </a:pPr>
                <a:r>
                  <a:t>USD ($M)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DSCR vs Covenant (First 8 Ops Years)</a:t>
            </a:r>
          </a:p>
        </rich>
      </tx>
    </title>
    <plotArea>
      <lineChart>
        <grouping val="standard"/>
        <ser>
          <idx val="0"/>
          <order val="0"/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'Dashboard'!$B$19:$I$19</f>
            </numRef>
          </cat>
          <val>
            <numRef>
              <f>'Dashboard'!$B$20:$I$20</f>
            </numRef>
          </val>
        </ser>
        <ser>
          <idx val="1"/>
          <order val="1"/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'Dashboard'!$B$19:$I$19</f>
            </numRef>
          </cat>
          <val>
            <numRef>
              <f>'Dashboard'!$B$21:$I$21</f>
            </numRef>
          </val>
        </ser>
        <axId val="10"/>
        <axId val="100"/>
      </line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/>
              <a:p>
                <a:pPr>
                  <a:defRPr/>
                </a:pPr>
                <a:r>
                  <a:t>Multiple (x)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0</col>
      <colOff>0</colOff>
      <row>22</row>
      <rowOff>0</rowOff>
    </from>
    <ext cx="6480000" cy="360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0</col>
      <colOff>0</colOff>
      <row>38</row>
      <rowOff>0</rowOff>
    </from>
    <ext cx="6480000" cy="3600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7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6"/>
  <sheetViews>
    <sheetView workbookViewId="0">
      <selection activeCell="A1" sqref="A1"/>
    </sheetView>
  </sheetViews>
  <sheetFormatPr baseColWidth="8" defaultRowHeight="15"/>
  <cols>
    <col width="44" customWidth="1" min="1" max="1"/>
    <col width="18" customWidth="1" min="2" max="2"/>
  </cols>
  <sheetData>
    <row r="1">
      <c r="A1" s="1" t="inlineStr">
        <is>
          <t>Sava LogPark Phase 2 SPV — Project Finance Assumptions</t>
        </is>
      </c>
    </row>
    <row r="2">
      <c r="A2" t="inlineStr">
        <is>
          <t>Greenfield logistics warehouse | Sava Industrial Co.Ltd (sponsor) | Binh Duong, Vietnam | USD ($M)</t>
        </is>
      </c>
    </row>
    <row r="4">
      <c r="A4" s="2" t="inlineStr">
        <is>
          <t>SPV &amp; PROJECT OVERVIEW</t>
        </is>
      </c>
      <c r="B4" s="3" t="n"/>
      <c r="C4" s="3" t="n"/>
    </row>
    <row r="5">
      <c r="A5" t="inlineStr">
        <is>
          <t>SPV Legal Name</t>
        </is>
      </c>
      <c r="B5" s="4" t="inlineStr">
        <is>
          <t>Sava LogPark Phase 2 Co., Ltd</t>
        </is>
      </c>
    </row>
    <row r="6">
      <c r="A6" t="inlineStr">
        <is>
          <t>Sponsor / Parent</t>
        </is>
      </c>
      <c r="B6" s="4" t="inlineStr">
        <is>
          <t>Sava Industrial Co.Ltd</t>
        </is>
      </c>
    </row>
    <row r="7">
      <c r="A7" t="inlineStr">
        <is>
          <t>Asset Description</t>
        </is>
      </c>
      <c r="B7" s="4" t="inlineStr">
        <is>
          <t>120,000 sqm Grade-A logistics park — Phase 2 expansion</t>
        </is>
      </c>
    </row>
    <row r="8">
      <c r="A8" t="inlineStr">
        <is>
          <t>Financial Close</t>
        </is>
      </c>
      <c r="B8" s="4" t="inlineStr">
        <is>
          <t>01-Jan-2025</t>
        </is>
      </c>
    </row>
    <row r="9">
      <c r="A9" s="4" t="inlineStr">
        <is>
          <t>Construction Period (Years)</t>
        </is>
      </c>
      <c r="B9" s="5" t="n">
        <v>2</v>
      </c>
    </row>
    <row r="10">
      <c r="A10" s="4" t="inlineStr">
        <is>
          <t>Operations Period (Years)</t>
        </is>
      </c>
      <c r="B10" s="5" t="n">
        <v>18</v>
      </c>
    </row>
    <row r="11">
      <c r="A11" t="inlineStr">
        <is>
          <t>Commercial Operations Date (COD)</t>
        </is>
      </c>
      <c r="B11" s="4" t="inlineStr">
        <is>
          <t>01-Jan-2028</t>
        </is>
      </c>
    </row>
    <row r="13">
      <c r="A13" s="2" t="inlineStr">
        <is>
          <t>TOTAL PROJECT COST (TPC)</t>
        </is>
      </c>
      <c r="B13" s="3" t="n"/>
      <c r="C13" s="3" t="n"/>
    </row>
    <row r="14">
      <c r="A14" s="4" t="inlineStr">
        <is>
          <t>Hard Construction Cost</t>
        </is>
      </c>
      <c r="B14" s="6" t="n">
        <v>128</v>
      </c>
    </row>
    <row r="15">
      <c r="A15" s="4" t="inlineStr">
        <is>
          <t>Soft Costs (% of Hard Cost)</t>
        </is>
      </c>
      <c r="B15" s="7" t="n">
        <v>0.08</v>
      </c>
    </row>
    <row r="16">
      <c r="A16" t="inlineStr">
        <is>
          <t>Soft Costs ($M)</t>
        </is>
      </c>
      <c r="B16" s="8">
        <f>B14*B15</f>
        <v/>
      </c>
    </row>
    <row r="17">
      <c r="A17" s="4" t="inlineStr">
        <is>
          <t>Contingency (% of Hard + Soft)</t>
        </is>
      </c>
      <c r="B17" s="7" t="n">
        <v>0.05</v>
      </c>
    </row>
    <row r="18">
      <c r="A18" t="inlineStr">
        <is>
          <t>Contingency ($M)</t>
        </is>
      </c>
      <c r="B18" s="8">
        <f>(B14+B16)*B17</f>
        <v/>
      </c>
    </row>
    <row r="19">
      <c r="A19" t="inlineStr">
        <is>
          <t>IDC Capitalized (from Construction Phase)</t>
        </is>
      </c>
      <c r="B19" s="9">
        <f>'Construction Phase'!B21</f>
        <v/>
      </c>
    </row>
    <row r="20">
      <c r="A20" t="inlineStr">
        <is>
          <t>Total Project Cost (TPC)</t>
        </is>
      </c>
      <c r="B20" s="10">
        <f>B14+B16+B18+B19</f>
        <v/>
      </c>
    </row>
    <row r="22">
      <c r="A22" s="2" t="inlineStr">
        <is>
          <t>CONSTRUCTION FUNDING MIX</t>
        </is>
      </c>
      <c r="B22" s="3" t="n"/>
      <c r="C22" s="3" t="n"/>
    </row>
    <row r="23">
      <c r="A23" s="4" t="inlineStr">
        <is>
          <t>Target Senior Debt / TPC (Max Gearing)</t>
        </is>
      </c>
      <c r="B23" s="7" t="n">
        <v>0.7</v>
      </c>
    </row>
    <row r="24">
      <c r="A24" t="inlineStr">
        <is>
          <t>Sponsor Equity (% of TPC — initial target)</t>
        </is>
      </c>
      <c r="B24" s="11">
        <f>1-B23</f>
        <v/>
      </c>
    </row>
    <row r="26">
      <c r="A26" s="2" t="inlineStr">
        <is>
          <t>OPERATING DRIVERS (POST-COD)</t>
        </is>
      </c>
      <c r="B26" s="3" t="n"/>
      <c r="C26" s="3" t="n"/>
    </row>
    <row r="27">
      <c r="A27" s="4" t="inlineStr">
        <is>
          <t>Leasable Area (000 sqm)</t>
        </is>
      </c>
      <c r="B27" s="6" t="n">
        <v>120</v>
      </c>
    </row>
    <row r="28">
      <c r="A28" s="4" t="inlineStr">
        <is>
          <t>Average Rent ($/sqm/year — real terms)</t>
        </is>
      </c>
      <c r="B28" s="6" t="n">
        <v>72</v>
      </c>
    </row>
    <row r="29">
      <c r="A29" s="4" t="inlineStr">
        <is>
          <t>Occupancy — Op Y1 (ramp-up)</t>
        </is>
      </c>
      <c r="B29" s="7" t="n">
        <v>0.55</v>
      </c>
    </row>
    <row r="30">
      <c r="A30" s="4" t="inlineStr">
        <is>
          <t>Occupancy — Op Y2</t>
        </is>
      </c>
      <c r="B30" s="7" t="n">
        <v>0.78</v>
      </c>
    </row>
    <row r="31">
      <c r="A31" s="4" t="inlineStr">
        <is>
          <t>Stabilized Occupancy (Op Y3+)</t>
        </is>
      </c>
      <c r="B31" s="7" t="n">
        <v>0.92</v>
      </c>
    </row>
    <row r="32">
      <c r="A32" s="4" t="inlineStr">
        <is>
          <t>Rent Escalation (annual, post-COD)</t>
        </is>
      </c>
      <c r="B32" s="7" t="n">
        <v>0.025</v>
      </c>
    </row>
    <row r="33">
      <c r="A33" s="4" t="inlineStr">
        <is>
          <t>Operating Expenses (% of Gross Rent)</t>
        </is>
      </c>
      <c r="B33" s="7" t="n">
        <v>0.18</v>
      </c>
    </row>
    <row r="34">
      <c r="A34" s="4" t="inlineStr">
        <is>
          <t>Maintenance CapEx (% of Gross Rent)</t>
        </is>
      </c>
      <c r="B34" s="7" t="n">
        <v>0.04</v>
      </c>
    </row>
    <row r="35">
      <c r="A35" s="4" t="inlineStr">
        <is>
          <t>ΔNWC (% of Revenue Growth)</t>
        </is>
      </c>
      <c r="B35" s="7" t="n">
        <v>0.05</v>
      </c>
    </row>
    <row r="36">
      <c r="A36" s="4" t="inlineStr">
        <is>
          <t>Corporate Tax Rate</t>
        </is>
      </c>
      <c r="B36" s="7" t="n">
        <v>0.2</v>
      </c>
    </row>
    <row r="38">
      <c r="A38" s="2" t="inlineStr">
        <is>
          <t>SENIOR DEBT TERMS</t>
        </is>
      </c>
      <c r="B38" s="3" t="n"/>
      <c r="C38" s="3" t="n"/>
    </row>
    <row r="39">
      <c r="A39" s="4" t="inlineStr">
        <is>
          <t>Base Rate (SOFR proxy)</t>
        </is>
      </c>
      <c r="B39" s="7" t="n">
        <v>0.045</v>
      </c>
    </row>
    <row r="40">
      <c r="A40" s="4" t="inlineStr">
        <is>
          <t>Senior Debt Margin</t>
        </is>
      </c>
      <c r="B40" s="7" t="n">
        <v>0.0225</v>
      </c>
    </row>
    <row r="41">
      <c r="A41" t="inlineStr">
        <is>
          <t>All-in Senior Debt Rate</t>
        </is>
      </c>
      <c r="B41" s="12">
        <f>B39+B40</f>
        <v/>
      </c>
    </row>
    <row r="42">
      <c r="A42" s="4" t="inlineStr">
        <is>
          <t>Senior Debt Tenor (Years from COD)</t>
        </is>
      </c>
      <c r="B42" s="5" t="n">
        <v>15</v>
      </c>
    </row>
    <row r="43">
      <c r="A43" s="4" t="inlineStr">
        <is>
          <t>Grace Period — Principal (Years from COD)</t>
        </is>
      </c>
      <c r="B43" s="5" t="n">
        <v>1</v>
      </c>
    </row>
    <row r="45">
      <c r="A45" s="2" t="inlineStr">
        <is>
          <t>DEBT SIZING &amp; COVENANT THRESHOLDS</t>
        </is>
      </c>
      <c r="B45" s="3" t="n"/>
      <c r="C45" s="3" t="n"/>
    </row>
    <row r="46">
      <c r="A46" s="4" t="inlineStr">
        <is>
          <t>Discount Rate (LLCR / NPV)</t>
        </is>
      </c>
      <c r="B46" s="7" t="n">
        <v>0.08</v>
      </c>
    </row>
    <row r="47">
      <c r="A47" s="4" t="inlineStr">
        <is>
          <t>Target DSCR — Debt Sizing</t>
        </is>
      </c>
      <c r="B47" s="13" t="n">
        <v>1.35</v>
      </c>
    </row>
    <row r="48">
      <c r="A48" s="4" t="inlineStr">
        <is>
          <t>Sculpted Debt Service Target DSCR</t>
        </is>
      </c>
      <c r="B48" s="13" t="n">
        <v>1.35</v>
      </c>
    </row>
    <row r="49">
      <c r="A49" s="4" t="inlineStr">
        <is>
          <t>Minimum DSCR Covenant</t>
        </is>
      </c>
      <c r="B49" s="13" t="n">
        <v>1.2</v>
      </c>
    </row>
    <row r="50">
      <c r="A50" s="4" t="inlineStr">
        <is>
          <t>Minimum LLCR Covenant</t>
        </is>
      </c>
      <c r="B50" s="13" t="n">
        <v>1.3</v>
      </c>
    </row>
    <row r="52">
      <c r="A52" s="2" t="inlineStr">
        <is>
          <t>• Blue = inputs; black = formulas. All values USD ($M).</t>
        </is>
      </c>
      <c r="B52" s="3" t="n"/>
      <c r="C52" s="3" t="n"/>
    </row>
    <row r="53">
      <c r="A53" t="inlineStr">
        <is>
          <t>• SPV ring-fenced from Sava Industrial parent — non-recourse senior debt.</t>
        </is>
      </c>
    </row>
    <row r="54">
      <c r="A54" t="inlineStr">
        <is>
          <t>• Phase 2 links to Sava Logistics Park ecosystem (Demo #5 equity waterfall asset).</t>
        </is>
      </c>
    </row>
    <row r="55">
      <c r="A55" t="inlineStr">
        <is>
          <t>• Sculpted debt service = CFADS ÷ Target DSCR during repayment years.</t>
        </is>
      </c>
    </row>
    <row r="56">
      <c r="A56" t="inlineStr">
        <is>
          <t>• Enable iterative calculation if Excel flags circular refs (IDC ↔ debt draw).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U23"/>
  <sheetViews>
    <sheetView workbookViewId="0">
      <selection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1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1" customWidth="1" min="17" max="17"/>
    <col width="11" customWidth="1" min="18" max="18"/>
    <col width="11" customWidth="1" min="19" max="19"/>
    <col width="11" customWidth="1" min="20" max="20"/>
    <col width="11" customWidth="1" min="21" max="21"/>
  </cols>
  <sheetData>
    <row r="1">
      <c r="A1" s="1" t="inlineStr">
        <is>
          <t>Construction Phase — Drawdown &amp; IDC</t>
        </is>
      </c>
    </row>
    <row r="2">
      <c r="A2" t="inlineStr">
        <is>
          <t>Sava LogPark Phase 2 | 2-year build | Senior debt + sponsor equity funding</t>
        </is>
      </c>
    </row>
    <row r="4">
      <c r="A4" s="14" t="inlineStr">
        <is>
          <t>USD ($M)</t>
        </is>
      </c>
      <c r="B4" s="15" t="inlineStr">
        <is>
          <t>Con Y1</t>
        </is>
      </c>
      <c r="C4" s="15" t="inlineStr">
        <is>
          <t>Con Y2</t>
        </is>
      </c>
      <c r="D4" s="15" t="inlineStr">
        <is>
          <t>Op Y1</t>
        </is>
      </c>
      <c r="E4" s="15" t="inlineStr">
        <is>
          <t>Op Y2</t>
        </is>
      </c>
      <c r="F4" s="15" t="inlineStr">
        <is>
          <t>Op Y3</t>
        </is>
      </c>
      <c r="G4" s="15" t="inlineStr">
        <is>
          <t>Op Y4</t>
        </is>
      </c>
      <c r="H4" s="15" t="inlineStr">
        <is>
          <t>Op Y5</t>
        </is>
      </c>
      <c r="I4" s="15" t="inlineStr">
        <is>
          <t>Op Y6</t>
        </is>
      </c>
      <c r="J4" s="15" t="inlineStr">
        <is>
          <t>Op Y7</t>
        </is>
      </c>
      <c r="K4" s="15" t="inlineStr">
        <is>
          <t>Op Y8</t>
        </is>
      </c>
      <c r="L4" s="15" t="inlineStr">
        <is>
          <t>Op Y9</t>
        </is>
      </c>
      <c r="M4" s="15" t="inlineStr">
        <is>
          <t>Op Y10</t>
        </is>
      </c>
      <c r="N4" s="15" t="inlineStr">
        <is>
          <t>Op Y11</t>
        </is>
      </c>
      <c r="O4" s="15" t="inlineStr">
        <is>
          <t>Op Y12</t>
        </is>
      </c>
      <c r="P4" s="15" t="inlineStr">
        <is>
          <t>Op Y13</t>
        </is>
      </c>
      <c r="Q4" s="15" t="inlineStr">
        <is>
          <t>Op Y14</t>
        </is>
      </c>
      <c r="R4" s="15" t="inlineStr">
        <is>
          <t>Op Y15</t>
        </is>
      </c>
      <c r="S4" s="15" t="inlineStr">
        <is>
          <t>Op Y16</t>
        </is>
      </c>
      <c r="T4" s="15" t="inlineStr">
        <is>
          <t>Op Y17</t>
        </is>
      </c>
      <c r="U4" s="15" t="inlineStr">
        <is>
          <t>Op Y18</t>
        </is>
      </c>
    </row>
    <row r="5">
      <c r="A5" t="inlineStr">
        <is>
          <t>Period End</t>
        </is>
      </c>
      <c r="B5" s="16" t="inlineStr">
        <is>
          <t>31-Dec-25</t>
        </is>
      </c>
      <c r="C5" s="16" t="inlineStr">
        <is>
          <t>31-Dec-26</t>
        </is>
      </c>
      <c r="D5" s="16" t="inlineStr">
        <is>
          <t>31-Dec-27</t>
        </is>
      </c>
      <c r="E5" s="16" t="inlineStr">
        <is>
          <t>31-Dec-28</t>
        </is>
      </c>
      <c r="F5" s="16" t="inlineStr">
        <is>
          <t>31-Dec-29</t>
        </is>
      </c>
      <c r="G5" s="16" t="inlineStr">
        <is>
          <t>31-Dec-30</t>
        </is>
      </c>
      <c r="H5" s="16" t="inlineStr">
        <is>
          <t>31-Dec-31</t>
        </is>
      </c>
      <c r="I5" s="16" t="inlineStr">
        <is>
          <t>31-Dec-32</t>
        </is>
      </c>
      <c r="J5" s="16" t="inlineStr">
        <is>
          <t>31-Dec-33</t>
        </is>
      </c>
      <c r="K5" s="16" t="inlineStr">
        <is>
          <t>31-Dec-34</t>
        </is>
      </c>
      <c r="L5" s="16" t="inlineStr">
        <is>
          <t>31-Dec-35</t>
        </is>
      </c>
      <c r="M5" s="16" t="inlineStr">
        <is>
          <t>31-Dec-36</t>
        </is>
      </c>
      <c r="N5" s="16" t="inlineStr">
        <is>
          <t>31-Dec-37</t>
        </is>
      </c>
      <c r="O5" s="16" t="inlineStr">
        <is>
          <t>31-Dec-38</t>
        </is>
      </c>
      <c r="P5" s="16" t="inlineStr">
        <is>
          <t>31-Dec-39</t>
        </is>
      </c>
      <c r="Q5" s="16" t="inlineStr">
        <is>
          <t>31-Dec-40</t>
        </is>
      </c>
      <c r="R5" s="16" t="inlineStr">
        <is>
          <t>31-Dec-41</t>
        </is>
      </c>
      <c r="S5" s="16" t="inlineStr">
        <is>
          <t>31-Dec-42</t>
        </is>
      </c>
      <c r="T5" s="16" t="inlineStr">
        <is>
          <t>31-Dec-43</t>
        </is>
      </c>
      <c r="U5" s="16" t="inlineStr">
        <is>
          <t>31-Dec-44</t>
        </is>
      </c>
    </row>
    <row r="6">
      <c r="A6" s="2" t="inlineStr">
        <is>
          <t>CAPEX SPEND SCHEDULE</t>
        </is>
      </c>
      <c r="B6" s="3" t="n"/>
      <c r="C6" s="3" t="n"/>
      <c r="D6" s="3" t="n"/>
      <c r="E6" s="3" t="n"/>
      <c r="F6" s="3" t="n"/>
      <c r="G6" s="3" t="n"/>
      <c r="H6" s="3" t="n"/>
      <c r="I6" s="3" t="n"/>
      <c r="J6" s="3" t="n"/>
      <c r="K6" s="3" t="n"/>
      <c r="L6" s="3" t="n"/>
      <c r="M6" s="3" t="n"/>
      <c r="N6" s="3" t="n"/>
      <c r="O6" s="3" t="n"/>
      <c r="P6" s="3" t="n"/>
      <c r="Q6" s="3" t="n"/>
      <c r="R6" s="3" t="n"/>
      <c r="S6" s="3" t="n"/>
      <c r="T6" s="3" t="n"/>
      <c r="U6" s="3" t="n"/>
    </row>
    <row r="7">
      <c r="A7" t="inlineStr">
        <is>
          <t>Hard Cost Spend</t>
        </is>
      </c>
      <c r="B7" s="7" t="n">
        <v>0.55</v>
      </c>
      <c r="C7" s="7" t="n">
        <v>0.45</v>
      </c>
      <c r="D7" s="11" t="n">
        <v>0</v>
      </c>
      <c r="E7" s="11" t="n">
        <v>0</v>
      </c>
      <c r="F7" s="11" t="n">
        <v>0</v>
      </c>
      <c r="G7" s="11" t="n">
        <v>0</v>
      </c>
      <c r="H7" s="11" t="n">
        <v>0</v>
      </c>
      <c r="I7" s="11" t="n">
        <v>0</v>
      </c>
      <c r="J7" s="11" t="n">
        <v>0</v>
      </c>
      <c r="K7" s="11" t="n">
        <v>0</v>
      </c>
      <c r="L7" s="11" t="n">
        <v>0</v>
      </c>
      <c r="M7" s="11" t="n">
        <v>0</v>
      </c>
      <c r="N7" s="11" t="n">
        <v>0</v>
      </c>
      <c r="O7" s="11" t="n">
        <v>0</v>
      </c>
      <c r="P7" s="11" t="n">
        <v>0</v>
      </c>
      <c r="Q7" s="11" t="n">
        <v>0</v>
      </c>
      <c r="R7" s="11" t="n">
        <v>0</v>
      </c>
      <c r="S7" s="11" t="n">
        <v>0</v>
      </c>
      <c r="T7" s="11" t="n">
        <v>0</v>
      </c>
      <c r="U7" s="11" t="n">
        <v>0</v>
      </c>
    </row>
    <row r="8">
      <c r="A8" t="inlineStr">
        <is>
          <t>Hard Cost ($M)</t>
        </is>
      </c>
      <c r="B8" s="8">
        <f>B7*Assumptions!$B$14</f>
        <v/>
      </c>
      <c r="C8" s="8">
        <f>C7*Assumptions!$B$14</f>
        <v/>
      </c>
      <c r="D8" s="8" t="n">
        <v>0</v>
      </c>
      <c r="E8" s="8" t="n">
        <v>0</v>
      </c>
      <c r="F8" s="8" t="n">
        <v>0</v>
      </c>
      <c r="G8" s="8" t="n">
        <v>0</v>
      </c>
      <c r="H8" s="8" t="n">
        <v>0</v>
      </c>
      <c r="I8" s="8" t="n">
        <v>0</v>
      </c>
      <c r="J8" s="8" t="n">
        <v>0</v>
      </c>
      <c r="K8" s="8" t="n">
        <v>0</v>
      </c>
      <c r="L8" s="8" t="n">
        <v>0</v>
      </c>
      <c r="M8" s="8" t="n">
        <v>0</v>
      </c>
      <c r="N8" s="8" t="n">
        <v>0</v>
      </c>
      <c r="O8" s="8" t="n">
        <v>0</v>
      </c>
      <c r="P8" s="8" t="n">
        <v>0</v>
      </c>
      <c r="Q8" s="8" t="n">
        <v>0</v>
      </c>
      <c r="R8" s="8" t="n">
        <v>0</v>
      </c>
      <c r="S8" s="8" t="n">
        <v>0</v>
      </c>
      <c r="T8" s="8" t="n">
        <v>0</v>
      </c>
      <c r="U8" s="8" t="n">
        <v>0</v>
      </c>
    </row>
    <row r="9">
      <c r="A9" t="inlineStr">
        <is>
          <t>Soft Costs ($M)</t>
        </is>
      </c>
      <c r="B9" s="8">
        <f>B7*Assumptions!$B$16</f>
        <v/>
      </c>
      <c r="C9" s="8">
        <f>C7*Assumptions!$B$16</f>
        <v/>
      </c>
      <c r="D9" s="8" t="n">
        <v>0</v>
      </c>
      <c r="E9" s="8" t="n">
        <v>0</v>
      </c>
      <c r="F9" s="8" t="n">
        <v>0</v>
      </c>
      <c r="G9" s="8" t="n">
        <v>0</v>
      </c>
      <c r="H9" s="8" t="n">
        <v>0</v>
      </c>
      <c r="I9" s="8" t="n">
        <v>0</v>
      </c>
      <c r="J9" s="8" t="n">
        <v>0</v>
      </c>
      <c r="K9" s="8" t="n">
        <v>0</v>
      </c>
      <c r="L9" s="8" t="n">
        <v>0</v>
      </c>
      <c r="M9" s="8" t="n">
        <v>0</v>
      </c>
      <c r="N9" s="8" t="n">
        <v>0</v>
      </c>
      <c r="O9" s="8" t="n">
        <v>0</v>
      </c>
      <c r="P9" s="8" t="n">
        <v>0</v>
      </c>
      <c r="Q9" s="8" t="n">
        <v>0</v>
      </c>
      <c r="R9" s="8" t="n">
        <v>0</v>
      </c>
      <c r="S9" s="8" t="n">
        <v>0</v>
      </c>
      <c r="T9" s="8" t="n">
        <v>0</v>
      </c>
      <c r="U9" s="8" t="n">
        <v>0</v>
      </c>
    </row>
    <row r="10">
      <c r="A10" t="inlineStr">
        <is>
          <t>Contingency Draw ($M)</t>
        </is>
      </c>
      <c r="B10" s="8">
        <f>B7*Assumptions!$B$18</f>
        <v/>
      </c>
      <c r="C10" s="8">
        <f>C7*Assumptions!$B$18</f>
        <v/>
      </c>
      <c r="D10" s="8" t="n">
        <v>0</v>
      </c>
      <c r="E10" s="8" t="n">
        <v>0</v>
      </c>
      <c r="F10" s="8" t="n">
        <v>0</v>
      </c>
      <c r="G10" s="8" t="n">
        <v>0</v>
      </c>
      <c r="H10" s="8" t="n">
        <v>0</v>
      </c>
      <c r="I10" s="8" t="n">
        <v>0</v>
      </c>
      <c r="J10" s="8" t="n">
        <v>0</v>
      </c>
      <c r="K10" s="8" t="n">
        <v>0</v>
      </c>
      <c r="L10" s="8" t="n">
        <v>0</v>
      </c>
      <c r="M10" s="8" t="n">
        <v>0</v>
      </c>
      <c r="N10" s="8" t="n">
        <v>0</v>
      </c>
      <c r="O10" s="8" t="n">
        <v>0</v>
      </c>
      <c r="P10" s="8" t="n">
        <v>0</v>
      </c>
      <c r="Q10" s="8" t="n">
        <v>0</v>
      </c>
      <c r="R10" s="8" t="n">
        <v>0</v>
      </c>
      <c r="S10" s="8" t="n">
        <v>0</v>
      </c>
      <c r="T10" s="8" t="n">
        <v>0</v>
      </c>
      <c r="U10" s="8" t="n">
        <v>0</v>
      </c>
    </row>
    <row r="11">
      <c r="A11" t="inlineStr">
        <is>
          <t>Total Construction Spend (ex-IDC)</t>
        </is>
      </c>
      <c r="B11" s="8">
        <f>B8+B9+B10</f>
        <v/>
      </c>
      <c r="C11" s="9">
        <f>C8+C9+C10</f>
        <v/>
      </c>
      <c r="D11" s="8" t="n">
        <v>0</v>
      </c>
      <c r="E11" s="8" t="n">
        <v>0</v>
      </c>
      <c r="F11" s="8" t="n">
        <v>0</v>
      </c>
      <c r="G11" s="8" t="n">
        <v>0</v>
      </c>
      <c r="H11" s="8" t="n">
        <v>0</v>
      </c>
      <c r="I11" s="8" t="n">
        <v>0</v>
      </c>
      <c r="J11" s="8" t="n">
        <v>0</v>
      </c>
      <c r="K11" s="8" t="n">
        <v>0</v>
      </c>
      <c r="L11" s="8" t="n">
        <v>0</v>
      </c>
      <c r="M11" s="8" t="n">
        <v>0</v>
      </c>
      <c r="N11" s="8" t="n">
        <v>0</v>
      </c>
      <c r="O11" s="8" t="n">
        <v>0</v>
      </c>
      <c r="P11" s="8" t="n">
        <v>0</v>
      </c>
      <c r="Q11" s="8" t="n">
        <v>0</v>
      </c>
      <c r="R11" s="8" t="n">
        <v>0</v>
      </c>
      <c r="S11" s="8" t="n">
        <v>0</v>
      </c>
      <c r="T11" s="8" t="n">
        <v>0</v>
      </c>
      <c r="U11" s="8" t="n">
        <v>0</v>
      </c>
    </row>
    <row r="13">
      <c r="A13" s="2" t="inlineStr">
        <is>
          <t>FUNDING DURING CONSTRUCTION</t>
        </is>
      </c>
      <c r="B13" s="3" t="n"/>
      <c r="C13" s="3" t="n"/>
      <c r="D13" s="3" t="n"/>
      <c r="E13" s="3" t="n"/>
      <c r="F13" s="3" t="n"/>
      <c r="G13" s="3" t="n"/>
      <c r="H13" s="3" t="n"/>
      <c r="I13" s="3" t="n"/>
      <c r="J13" s="3" t="n"/>
      <c r="K13" s="3" t="n"/>
      <c r="L13" s="3" t="n"/>
      <c r="M13" s="3" t="n"/>
      <c r="N13" s="3" t="n"/>
      <c r="O13" s="3" t="n"/>
      <c r="P13" s="3" t="n"/>
      <c r="Q13" s="3" t="n"/>
      <c r="R13" s="3" t="n"/>
      <c r="S13" s="3" t="n"/>
      <c r="T13" s="3" t="n"/>
      <c r="U13" s="3" t="n"/>
    </row>
    <row r="14">
      <c r="A14" t="inlineStr">
        <is>
          <t>Senior Debt Drawdown</t>
        </is>
      </c>
      <c r="B14" s="8">
        <f>B11*Assumptions!$B$23</f>
        <v/>
      </c>
      <c r="C14" s="8">
        <f>C11*Assumptions!$B$23</f>
        <v/>
      </c>
      <c r="D14" s="8" t="n">
        <v>0</v>
      </c>
      <c r="E14" s="8" t="n">
        <v>0</v>
      </c>
      <c r="F14" s="8" t="n">
        <v>0</v>
      </c>
      <c r="G14" s="8" t="n">
        <v>0</v>
      </c>
      <c r="H14" s="8" t="n">
        <v>0</v>
      </c>
      <c r="I14" s="8" t="n">
        <v>0</v>
      </c>
      <c r="J14" s="8" t="n">
        <v>0</v>
      </c>
      <c r="K14" s="8" t="n">
        <v>0</v>
      </c>
      <c r="L14" s="8" t="n">
        <v>0</v>
      </c>
      <c r="M14" s="8" t="n">
        <v>0</v>
      </c>
      <c r="N14" s="8" t="n">
        <v>0</v>
      </c>
      <c r="O14" s="8" t="n">
        <v>0</v>
      </c>
      <c r="P14" s="8" t="n">
        <v>0</v>
      </c>
      <c r="Q14" s="8" t="n">
        <v>0</v>
      </c>
      <c r="R14" s="8" t="n">
        <v>0</v>
      </c>
      <c r="S14" s="8" t="n">
        <v>0</v>
      </c>
      <c r="T14" s="8" t="n">
        <v>0</v>
      </c>
      <c r="U14" s="8" t="n">
        <v>0</v>
      </c>
    </row>
    <row r="15">
      <c r="A15" t="inlineStr">
        <is>
          <t>Sponsor Equity Contribution</t>
        </is>
      </c>
      <c r="B15" s="8">
        <f>B11-B14</f>
        <v/>
      </c>
      <c r="C15" s="8">
        <f>C11-C14</f>
        <v/>
      </c>
      <c r="D15" s="8" t="n">
        <v>0</v>
      </c>
      <c r="E15" s="8" t="n">
        <v>0</v>
      </c>
      <c r="F15" s="8" t="n">
        <v>0</v>
      </c>
      <c r="G15" s="8" t="n">
        <v>0</v>
      </c>
      <c r="H15" s="8" t="n">
        <v>0</v>
      </c>
      <c r="I15" s="8" t="n">
        <v>0</v>
      </c>
      <c r="J15" s="8" t="n">
        <v>0</v>
      </c>
      <c r="K15" s="8" t="n">
        <v>0</v>
      </c>
      <c r="L15" s="8" t="n">
        <v>0</v>
      </c>
      <c r="M15" s="8" t="n">
        <v>0</v>
      </c>
      <c r="N15" s="8" t="n">
        <v>0</v>
      </c>
      <c r="O15" s="8" t="n">
        <v>0</v>
      </c>
      <c r="P15" s="8" t="n">
        <v>0</v>
      </c>
      <c r="Q15" s="8" t="n">
        <v>0</v>
      </c>
      <c r="R15" s="8" t="n">
        <v>0</v>
      </c>
      <c r="S15" s="8" t="n">
        <v>0</v>
      </c>
      <c r="T15" s="8" t="n">
        <v>0</v>
      </c>
      <c r="U15" s="8" t="n">
        <v>0</v>
      </c>
    </row>
    <row r="17">
      <c r="A17" s="2" t="inlineStr">
        <is>
          <t>DEBT BALANCE &amp; IDC (CAPITALIZED)</t>
        </is>
      </c>
      <c r="B17" s="3" t="n"/>
      <c r="C17" s="3" t="n"/>
      <c r="D17" s="3" t="n"/>
      <c r="E17" s="3" t="n"/>
      <c r="F17" s="3" t="n"/>
      <c r="G17" s="3" t="n"/>
      <c r="H17" s="3" t="n"/>
      <c r="I17" s="3" t="n"/>
      <c r="J17" s="3" t="n"/>
      <c r="K17" s="3" t="n"/>
      <c r="L17" s="3" t="n"/>
      <c r="M17" s="3" t="n"/>
      <c r="N17" s="3" t="n"/>
      <c r="O17" s="3" t="n"/>
      <c r="P17" s="3" t="n"/>
      <c r="Q17" s="3" t="n"/>
      <c r="R17" s="3" t="n"/>
      <c r="S17" s="3" t="n"/>
      <c r="T17" s="3" t="n"/>
      <c r="U17" s="3" t="n"/>
    </row>
    <row r="18">
      <c r="A18" t="inlineStr">
        <is>
          <t>Senior Debt — Opening Balance</t>
        </is>
      </c>
      <c r="B18" s="8" t="n">
        <v>0</v>
      </c>
      <c r="C18" s="8">
        <f>B19</f>
        <v/>
      </c>
      <c r="D18" s="8" t="n">
        <v>0</v>
      </c>
      <c r="E18" s="8" t="n">
        <v>0</v>
      </c>
      <c r="F18" s="8" t="n">
        <v>0</v>
      </c>
      <c r="G18" s="8" t="n">
        <v>0</v>
      </c>
      <c r="H18" s="8" t="n">
        <v>0</v>
      </c>
      <c r="I18" s="8" t="n">
        <v>0</v>
      </c>
      <c r="J18" s="8" t="n">
        <v>0</v>
      </c>
      <c r="K18" s="8" t="n">
        <v>0</v>
      </c>
      <c r="L18" s="8" t="n">
        <v>0</v>
      </c>
      <c r="M18" s="8" t="n">
        <v>0</v>
      </c>
      <c r="N18" s="8" t="n">
        <v>0</v>
      </c>
      <c r="O18" s="8" t="n">
        <v>0</v>
      </c>
      <c r="P18" s="8" t="n">
        <v>0</v>
      </c>
      <c r="Q18" s="8" t="n">
        <v>0</v>
      </c>
      <c r="R18" s="8" t="n">
        <v>0</v>
      </c>
      <c r="S18" s="8" t="n">
        <v>0</v>
      </c>
      <c r="T18" s="8" t="n">
        <v>0</v>
      </c>
      <c r="U18" s="8" t="n">
        <v>0</v>
      </c>
    </row>
    <row r="19">
      <c r="A19" t="inlineStr">
        <is>
          <t>Senior Debt — Closing Balance</t>
        </is>
      </c>
      <c r="B19" s="8">
        <f>B18+B14</f>
        <v/>
      </c>
      <c r="C19" s="8">
        <f>C18+C14</f>
        <v/>
      </c>
      <c r="D19" s="8" t="n">
        <v>0</v>
      </c>
      <c r="E19" s="8" t="n">
        <v>0</v>
      </c>
      <c r="F19" s="8" t="n">
        <v>0</v>
      </c>
      <c r="G19" s="8" t="n">
        <v>0</v>
      </c>
      <c r="H19" s="8" t="n">
        <v>0</v>
      </c>
      <c r="I19" s="8" t="n">
        <v>0</v>
      </c>
      <c r="J19" s="8" t="n">
        <v>0</v>
      </c>
      <c r="K19" s="8" t="n">
        <v>0</v>
      </c>
      <c r="L19" s="8" t="n">
        <v>0</v>
      </c>
      <c r="M19" s="8" t="n">
        <v>0</v>
      </c>
      <c r="N19" s="8" t="n">
        <v>0</v>
      </c>
      <c r="O19" s="8" t="n">
        <v>0</v>
      </c>
      <c r="P19" s="8" t="n">
        <v>0</v>
      </c>
      <c r="Q19" s="8" t="n">
        <v>0</v>
      </c>
      <c r="R19" s="8" t="n">
        <v>0</v>
      </c>
      <c r="S19" s="8" t="n">
        <v>0</v>
      </c>
      <c r="T19" s="8" t="n">
        <v>0</v>
      </c>
      <c r="U19" s="8" t="n">
        <v>0</v>
      </c>
    </row>
    <row r="20">
      <c r="A20" t="inlineStr">
        <is>
          <t>Interest During Construction (IDC)</t>
        </is>
      </c>
      <c r="B20" s="8">
        <f>B18*Assumptions!$B$41</f>
        <v/>
      </c>
      <c r="C20" s="8">
        <f>C18*Assumptions!$B$41</f>
        <v/>
      </c>
      <c r="D20" s="8" t="n">
        <v>0</v>
      </c>
      <c r="E20" s="8" t="n">
        <v>0</v>
      </c>
      <c r="F20" s="8" t="n">
        <v>0</v>
      </c>
      <c r="G20" s="8" t="n">
        <v>0</v>
      </c>
      <c r="H20" s="8" t="n">
        <v>0</v>
      </c>
      <c r="I20" s="8" t="n">
        <v>0</v>
      </c>
      <c r="J20" s="8" t="n">
        <v>0</v>
      </c>
      <c r="K20" s="8" t="n">
        <v>0</v>
      </c>
      <c r="L20" s="8" t="n">
        <v>0</v>
      </c>
      <c r="M20" s="8" t="n">
        <v>0</v>
      </c>
      <c r="N20" s="8" t="n">
        <v>0</v>
      </c>
      <c r="O20" s="8" t="n">
        <v>0</v>
      </c>
      <c r="P20" s="8" t="n">
        <v>0</v>
      </c>
      <c r="Q20" s="8" t="n">
        <v>0</v>
      </c>
      <c r="R20" s="8" t="n">
        <v>0</v>
      </c>
      <c r="S20" s="8" t="n">
        <v>0</v>
      </c>
      <c r="T20" s="8" t="n">
        <v>0</v>
      </c>
      <c r="U20" s="8" t="n">
        <v>0</v>
      </c>
    </row>
    <row r="21">
      <c r="A21" t="inlineStr">
        <is>
          <t>Total IDC Capitalized</t>
        </is>
      </c>
      <c r="B21" s="10">
        <f>SUM(B20:C20)</f>
        <v/>
      </c>
    </row>
    <row r="22">
      <c r="A22" t="inlineStr">
        <is>
          <t>Senior Debt Outstanding at COD</t>
        </is>
      </c>
      <c r="B22" s="17">
        <f>C19</f>
        <v/>
      </c>
    </row>
    <row r="23">
      <c r="A23" t="inlineStr">
        <is>
          <t>Total Sponsor Equity Funded</t>
        </is>
      </c>
      <c r="B23" s="10">
        <f>SUM(B15:C15)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U16"/>
  <sheetViews>
    <sheetView workbookViewId="0">
      <selection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1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1" customWidth="1" min="17" max="17"/>
    <col width="11" customWidth="1" min="18" max="18"/>
    <col width="11" customWidth="1" min="19" max="19"/>
    <col width="11" customWidth="1" min="20" max="20"/>
    <col width="11" customWidth="1" min="21" max="21"/>
  </cols>
  <sheetData>
    <row r="1">
      <c r="A1" s="1" t="inlineStr">
        <is>
          <t>Operations Phase — Rental Income &amp; CFADS</t>
        </is>
      </c>
    </row>
    <row r="2">
      <c r="A2" t="inlineStr">
        <is>
          <t>Post-COD cash flows for debt sizing, sculpting &amp; covenant testing</t>
        </is>
      </c>
    </row>
    <row r="4">
      <c r="A4" s="14" t="inlineStr">
        <is>
          <t>USD ($M)</t>
        </is>
      </c>
      <c r="B4" s="15" t="inlineStr">
        <is>
          <t>Con Y1</t>
        </is>
      </c>
      <c r="C4" s="15" t="inlineStr">
        <is>
          <t>Con Y2</t>
        </is>
      </c>
      <c r="D4" s="15" t="inlineStr">
        <is>
          <t>Op Y1</t>
        </is>
      </c>
      <c r="E4" s="15" t="inlineStr">
        <is>
          <t>Op Y2</t>
        </is>
      </c>
      <c r="F4" s="15" t="inlineStr">
        <is>
          <t>Op Y3</t>
        </is>
      </c>
      <c r="G4" s="15" t="inlineStr">
        <is>
          <t>Op Y4</t>
        </is>
      </c>
      <c r="H4" s="15" t="inlineStr">
        <is>
          <t>Op Y5</t>
        </is>
      </c>
      <c r="I4" s="15" t="inlineStr">
        <is>
          <t>Op Y6</t>
        </is>
      </c>
      <c r="J4" s="15" t="inlineStr">
        <is>
          <t>Op Y7</t>
        </is>
      </c>
      <c r="K4" s="15" t="inlineStr">
        <is>
          <t>Op Y8</t>
        </is>
      </c>
      <c r="L4" s="15" t="inlineStr">
        <is>
          <t>Op Y9</t>
        </is>
      </c>
      <c r="M4" s="15" t="inlineStr">
        <is>
          <t>Op Y10</t>
        </is>
      </c>
      <c r="N4" s="15" t="inlineStr">
        <is>
          <t>Op Y11</t>
        </is>
      </c>
      <c r="O4" s="15" t="inlineStr">
        <is>
          <t>Op Y12</t>
        </is>
      </c>
      <c r="P4" s="15" t="inlineStr">
        <is>
          <t>Op Y13</t>
        </is>
      </c>
      <c r="Q4" s="15" t="inlineStr">
        <is>
          <t>Op Y14</t>
        </is>
      </c>
      <c r="R4" s="15" t="inlineStr">
        <is>
          <t>Op Y15</t>
        </is>
      </c>
      <c r="S4" s="15" t="inlineStr">
        <is>
          <t>Op Y16</t>
        </is>
      </c>
      <c r="T4" s="15" t="inlineStr">
        <is>
          <t>Op Y17</t>
        </is>
      </c>
      <c r="U4" s="15" t="inlineStr">
        <is>
          <t>Op Y18</t>
        </is>
      </c>
    </row>
    <row r="5">
      <c r="A5" t="inlineStr">
        <is>
          <t>Period End</t>
        </is>
      </c>
      <c r="B5" s="16" t="inlineStr">
        <is>
          <t>31-Dec-25</t>
        </is>
      </c>
      <c r="C5" s="16" t="inlineStr">
        <is>
          <t>31-Dec-26</t>
        </is>
      </c>
      <c r="D5" s="16" t="inlineStr">
        <is>
          <t>31-Dec-27</t>
        </is>
      </c>
      <c r="E5" s="16" t="inlineStr">
        <is>
          <t>31-Dec-28</t>
        </is>
      </c>
      <c r="F5" s="16" t="inlineStr">
        <is>
          <t>31-Dec-29</t>
        </is>
      </c>
      <c r="G5" s="16" t="inlineStr">
        <is>
          <t>31-Dec-30</t>
        </is>
      </c>
      <c r="H5" s="16" t="inlineStr">
        <is>
          <t>31-Dec-31</t>
        </is>
      </c>
      <c r="I5" s="16" t="inlineStr">
        <is>
          <t>31-Dec-32</t>
        </is>
      </c>
      <c r="J5" s="16" t="inlineStr">
        <is>
          <t>31-Dec-33</t>
        </is>
      </c>
      <c r="K5" s="16" t="inlineStr">
        <is>
          <t>31-Dec-34</t>
        </is>
      </c>
      <c r="L5" s="16" t="inlineStr">
        <is>
          <t>31-Dec-35</t>
        </is>
      </c>
      <c r="M5" s="16" t="inlineStr">
        <is>
          <t>31-Dec-36</t>
        </is>
      </c>
      <c r="N5" s="16" t="inlineStr">
        <is>
          <t>31-Dec-37</t>
        </is>
      </c>
      <c r="O5" s="16" t="inlineStr">
        <is>
          <t>31-Dec-38</t>
        </is>
      </c>
      <c r="P5" s="16" t="inlineStr">
        <is>
          <t>31-Dec-39</t>
        </is>
      </c>
      <c r="Q5" s="16" t="inlineStr">
        <is>
          <t>31-Dec-40</t>
        </is>
      </c>
      <c r="R5" s="16" t="inlineStr">
        <is>
          <t>31-Dec-41</t>
        </is>
      </c>
      <c r="S5" s="16" t="inlineStr">
        <is>
          <t>31-Dec-42</t>
        </is>
      </c>
      <c r="T5" s="16" t="inlineStr">
        <is>
          <t>31-Dec-43</t>
        </is>
      </c>
      <c r="U5" s="16" t="inlineStr">
        <is>
          <t>31-Dec-44</t>
        </is>
      </c>
    </row>
    <row r="6">
      <c r="A6" t="inlineStr">
        <is>
          <t>Occupancy Rate</t>
        </is>
      </c>
      <c r="B6" s="11" t="n">
        <v>0</v>
      </c>
      <c r="C6" s="11" t="n">
        <v>0</v>
      </c>
      <c r="D6" s="11" t="inlineStr">
        <is>
          <t>Assumptions!$B$29</t>
        </is>
      </c>
      <c r="E6" s="11" t="inlineStr">
        <is>
          <t>Assumptions!$B$30</t>
        </is>
      </c>
      <c r="F6" s="11" t="inlineStr">
        <is>
          <t>Assumptions!$B$31</t>
        </is>
      </c>
      <c r="G6" s="11" t="inlineStr">
        <is>
          <t>Assumptions!$B$31</t>
        </is>
      </c>
      <c r="H6" s="11" t="inlineStr">
        <is>
          <t>Assumptions!$B$31</t>
        </is>
      </c>
      <c r="I6" s="11" t="inlineStr">
        <is>
          <t>Assumptions!$B$31</t>
        </is>
      </c>
      <c r="J6" s="11" t="inlineStr">
        <is>
          <t>Assumptions!$B$31</t>
        </is>
      </c>
      <c r="K6" s="11" t="inlineStr">
        <is>
          <t>Assumptions!$B$31</t>
        </is>
      </c>
      <c r="L6" s="11" t="inlineStr">
        <is>
          <t>Assumptions!$B$31</t>
        </is>
      </c>
      <c r="M6" s="11" t="inlineStr">
        <is>
          <t>Assumptions!$B$31</t>
        </is>
      </c>
      <c r="N6" s="11" t="inlineStr">
        <is>
          <t>Assumptions!$B$31</t>
        </is>
      </c>
      <c r="O6" s="11" t="inlineStr">
        <is>
          <t>Assumptions!$B$31</t>
        </is>
      </c>
      <c r="P6" s="11" t="inlineStr">
        <is>
          <t>Assumptions!$B$31</t>
        </is>
      </c>
      <c r="Q6" s="11" t="inlineStr">
        <is>
          <t>Assumptions!$B$31</t>
        </is>
      </c>
      <c r="R6" s="11" t="inlineStr">
        <is>
          <t>Assumptions!$B$31</t>
        </is>
      </c>
      <c r="S6" s="11" t="inlineStr">
        <is>
          <t>Assumptions!$B$31</t>
        </is>
      </c>
      <c r="T6" s="11" t="inlineStr">
        <is>
          <t>Assumptions!$B$31</t>
        </is>
      </c>
      <c r="U6" s="11" t="inlineStr">
        <is>
          <t>Assumptions!$B$31</t>
        </is>
      </c>
    </row>
    <row r="7">
      <c r="A7" t="inlineStr">
        <is>
          <t>Rent ($/sqm/year)</t>
        </is>
      </c>
      <c r="B7" s="8" t="n">
        <v>0</v>
      </c>
      <c r="C7" s="8" t="n">
        <v>0</v>
      </c>
      <c r="D7" s="8">
        <f>Assumptions!$B$28</f>
        <v/>
      </c>
      <c r="E7" s="8">
        <f>D7*(1+Assumptions!$B$32)</f>
        <v/>
      </c>
      <c r="F7" s="8">
        <f>E7*(1+Assumptions!$B$32)</f>
        <v/>
      </c>
      <c r="G7" s="8">
        <f>F7*(1+Assumptions!$B$32)</f>
        <v/>
      </c>
      <c r="H7" s="8">
        <f>G7*(1+Assumptions!$B$32)</f>
        <v/>
      </c>
      <c r="I7" s="8">
        <f>H7*(1+Assumptions!$B$32)</f>
        <v/>
      </c>
      <c r="J7" s="8">
        <f>I7*(1+Assumptions!$B$32)</f>
        <v/>
      </c>
      <c r="K7" s="8">
        <f>J7*(1+Assumptions!$B$32)</f>
        <v/>
      </c>
      <c r="L7" s="8">
        <f>K7*(1+Assumptions!$B$32)</f>
        <v/>
      </c>
      <c r="M7" s="8">
        <f>L7*(1+Assumptions!$B$32)</f>
        <v/>
      </c>
      <c r="N7" s="8">
        <f>M7*(1+Assumptions!$B$32)</f>
        <v/>
      </c>
      <c r="O7" s="8">
        <f>N7*(1+Assumptions!$B$32)</f>
        <v/>
      </c>
      <c r="P7" s="8">
        <f>O7*(1+Assumptions!$B$32)</f>
        <v/>
      </c>
      <c r="Q7" s="8">
        <f>P7*(1+Assumptions!$B$32)</f>
        <v/>
      </c>
      <c r="R7" s="8">
        <f>Q7*(1+Assumptions!$B$32)</f>
        <v/>
      </c>
      <c r="S7" s="8">
        <f>R7*(1+Assumptions!$B$32)</f>
        <v/>
      </c>
      <c r="T7" s="8">
        <f>S7*(1+Assumptions!$B$32)</f>
        <v/>
      </c>
      <c r="U7" s="8">
        <f>T7*(1+Assumptions!$B$32)</f>
        <v/>
      </c>
    </row>
    <row r="8">
      <c r="A8" t="inlineStr">
        <is>
          <t>Gross Rental Revenue</t>
        </is>
      </c>
      <c r="B8" s="8" t="n">
        <v>0</v>
      </c>
      <c r="C8" s="8" t="n">
        <v>0</v>
      </c>
      <c r="D8" s="8">
        <f>D6*Assumptions!$B$27*1000*D7/1000000</f>
        <v/>
      </c>
      <c r="E8" s="8">
        <f>E6*Assumptions!$B$27*1000*E7/1000000</f>
        <v/>
      </c>
      <c r="F8" s="8">
        <f>F6*Assumptions!$B$27*1000*F7/1000000</f>
        <v/>
      </c>
      <c r="G8" s="8">
        <f>G6*Assumptions!$B$27*1000*G7/1000000</f>
        <v/>
      </c>
      <c r="H8" s="8">
        <f>H6*Assumptions!$B$27*1000*H7/1000000</f>
        <v/>
      </c>
      <c r="I8" s="8">
        <f>I6*Assumptions!$B$27*1000*I7/1000000</f>
        <v/>
      </c>
      <c r="J8" s="8">
        <f>J6*Assumptions!$B$27*1000*J7/1000000</f>
        <v/>
      </c>
      <c r="K8" s="8">
        <f>K6*Assumptions!$B$27*1000*K7/1000000</f>
        <v/>
      </c>
      <c r="L8" s="8">
        <f>L6*Assumptions!$B$27*1000*L7/1000000</f>
        <v/>
      </c>
      <c r="M8" s="8">
        <f>M6*Assumptions!$B$27*1000*M7/1000000</f>
        <v/>
      </c>
      <c r="N8" s="8">
        <f>N6*Assumptions!$B$27*1000*N7/1000000</f>
        <v/>
      </c>
      <c r="O8" s="8">
        <f>O6*Assumptions!$B$27*1000*O7/1000000</f>
        <v/>
      </c>
      <c r="P8" s="8">
        <f>P6*Assumptions!$B$27*1000*P7/1000000</f>
        <v/>
      </c>
      <c r="Q8" s="8">
        <f>Q6*Assumptions!$B$27*1000*Q7/1000000</f>
        <v/>
      </c>
      <c r="R8" s="8">
        <f>R6*Assumptions!$B$27*1000*R7/1000000</f>
        <v/>
      </c>
      <c r="S8" s="8">
        <f>S6*Assumptions!$B$27*1000*S7/1000000</f>
        <v/>
      </c>
      <c r="T8" s="8">
        <f>T6*Assumptions!$B$27*1000*T7/1000000</f>
        <v/>
      </c>
      <c r="U8" s="8">
        <f>U6*Assumptions!$B$27*1000*U7/1000000</f>
        <v/>
      </c>
    </row>
    <row r="9">
      <c r="A9" t="inlineStr">
        <is>
          <t>Operating Expenses</t>
        </is>
      </c>
      <c r="B9" s="8">
        <f>B8*Assumptions!$B$33</f>
        <v/>
      </c>
      <c r="C9" s="8">
        <f>C8*Assumptions!$B$33</f>
        <v/>
      </c>
      <c r="D9" s="8">
        <f>D8*Assumptions!$B$33</f>
        <v/>
      </c>
      <c r="E9" s="8">
        <f>E8*Assumptions!$B$33</f>
        <v/>
      </c>
      <c r="F9" s="8">
        <f>F8*Assumptions!$B$33</f>
        <v/>
      </c>
      <c r="G9" s="8">
        <f>G8*Assumptions!$B$33</f>
        <v/>
      </c>
      <c r="H9" s="8">
        <f>H8*Assumptions!$B$33</f>
        <v/>
      </c>
      <c r="I9" s="8">
        <f>I8*Assumptions!$B$33</f>
        <v/>
      </c>
      <c r="J9" s="8">
        <f>J8*Assumptions!$B$33</f>
        <v/>
      </c>
      <c r="K9" s="8">
        <f>K8*Assumptions!$B$33</f>
        <v/>
      </c>
      <c r="L9" s="8">
        <f>L8*Assumptions!$B$33</f>
        <v/>
      </c>
      <c r="M9" s="8">
        <f>M8*Assumptions!$B$33</f>
        <v/>
      </c>
      <c r="N9" s="8">
        <f>N8*Assumptions!$B$33</f>
        <v/>
      </c>
      <c r="O9" s="8">
        <f>O8*Assumptions!$B$33</f>
        <v/>
      </c>
      <c r="P9" s="8">
        <f>P8*Assumptions!$B$33</f>
        <v/>
      </c>
      <c r="Q9" s="8">
        <f>Q8*Assumptions!$B$33</f>
        <v/>
      </c>
      <c r="R9" s="8">
        <f>R8*Assumptions!$B$33</f>
        <v/>
      </c>
      <c r="S9" s="8">
        <f>S8*Assumptions!$B$33</f>
        <v/>
      </c>
      <c r="T9" s="8">
        <f>T8*Assumptions!$B$33</f>
        <v/>
      </c>
      <c r="U9" s="8">
        <f>U8*Assumptions!$B$33</f>
        <v/>
      </c>
    </row>
    <row r="10">
      <c r="A10" t="inlineStr">
        <is>
          <t>EBITDA</t>
        </is>
      </c>
      <c r="B10" s="8">
        <f>B8-B9</f>
        <v/>
      </c>
      <c r="C10" s="8">
        <f>C8-C9</f>
        <v/>
      </c>
      <c r="D10" s="8">
        <f>D8-D9</f>
        <v/>
      </c>
      <c r="E10" s="8">
        <f>E8-E9</f>
        <v/>
      </c>
      <c r="F10" s="8">
        <f>F8-F9</f>
        <v/>
      </c>
      <c r="G10" s="8">
        <f>G8-G9</f>
        <v/>
      </c>
      <c r="H10" s="8">
        <f>H8-H9</f>
        <v/>
      </c>
      <c r="I10" s="8">
        <f>I8-I9</f>
        <v/>
      </c>
      <c r="J10" s="8">
        <f>J8-J9</f>
        <v/>
      </c>
      <c r="K10" s="8">
        <f>K8-K9</f>
        <v/>
      </c>
      <c r="L10" s="8">
        <f>L8-L9</f>
        <v/>
      </c>
      <c r="M10" s="8">
        <f>M8-M9</f>
        <v/>
      </c>
      <c r="N10" s="8">
        <f>N8-N9</f>
        <v/>
      </c>
      <c r="O10" s="8">
        <f>O8-O9</f>
        <v/>
      </c>
      <c r="P10" s="8">
        <f>P8-P9</f>
        <v/>
      </c>
      <c r="Q10" s="8">
        <f>Q8-Q9</f>
        <v/>
      </c>
      <c r="R10" s="8">
        <f>R8-R9</f>
        <v/>
      </c>
      <c r="S10" s="8">
        <f>S8-S9</f>
        <v/>
      </c>
      <c r="T10" s="8">
        <f>T8-T9</f>
        <v/>
      </c>
      <c r="U10" s="9">
        <f>U8-U9</f>
        <v/>
      </c>
    </row>
    <row r="11">
      <c r="A11" t="inlineStr">
        <is>
          <t>Depreciation (non-cash)</t>
        </is>
      </c>
      <c r="B11" s="8" t="n">
        <v>0</v>
      </c>
      <c r="C11" s="8" t="n">
        <v>0</v>
      </c>
      <c r="D11" s="8">
        <f>(Assumptions!$B$14+Assumptions!$B$16)/Assumptions!$B$10</f>
        <v/>
      </c>
      <c r="E11" s="8">
        <f>(Assumptions!$B$14+Assumptions!$B$16)/Assumptions!$B$10</f>
        <v/>
      </c>
      <c r="F11" s="8">
        <f>(Assumptions!$B$14+Assumptions!$B$16)/Assumptions!$B$10</f>
        <v/>
      </c>
      <c r="G11" s="8">
        <f>(Assumptions!$B$14+Assumptions!$B$16)/Assumptions!$B$10</f>
        <v/>
      </c>
      <c r="H11" s="8">
        <f>(Assumptions!$B$14+Assumptions!$B$16)/Assumptions!$B$10</f>
        <v/>
      </c>
      <c r="I11" s="8">
        <f>(Assumptions!$B$14+Assumptions!$B$16)/Assumptions!$B$10</f>
        <v/>
      </c>
      <c r="J11" s="8">
        <f>(Assumptions!$B$14+Assumptions!$B$16)/Assumptions!$B$10</f>
        <v/>
      </c>
      <c r="K11" s="8">
        <f>(Assumptions!$B$14+Assumptions!$B$16)/Assumptions!$B$10</f>
        <v/>
      </c>
      <c r="L11" s="8">
        <f>(Assumptions!$B$14+Assumptions!$B$16)/Assumptions!$B$10</f>
        <v/>
      </c>
      <c r="M11" s="8">
        <f>(Assumptions!$B$14+Assumptions!$B$16)/Assumptions!$B$10</f>
        <v/>
      </c>
      <c r="N11" s="8">
        <f>(Assumptions!$B$14+Assumptions!$B$16)/Assumptions!$B$10</f>
        <v/>
      </c>
      <c r="O11" s="8">
        <f>(Assumptions!$B$14+Assumptions!$B$16)/Assumptions!$B$10</f>
        <v/>
      </c>
      <c r="P11" s="8">
        <f>(Assumptions!$B$14+Assumptions!$B$16)/Assumptions!$B$10</f>
        <v/>
      </c>
      <c r="Q11" s="8">
        <f>(Assumptions!$B$14+Assumptions!$B$16)/Assumptions!$B$10</f>
        <v/>
      </c>
      <c r="R11" s="8">
        <f>(Assumptions!$B$14+Assumptions!$B$16)/Assumptions!$B$10</f>
        <v/>
      </c>
      <c r="S11" s="8">
        <f>(Assumptions!$B$14+Assumptions!$B$16)/Assumptions!$B$10</f>
        <v/>
      </c>
      <c r="T11" s="8">
        <f>(Assumptions!$B$14+Assumptions!$B$16)/Assumptions!$B$10</f>
        <v/>
      </c>
      <c r="U11" s="8">
        <f>(Assumptions!$B$14+Assumptions!$B$16)/Assumptions!$B$10</f>
        <v/>
      </c>
    </row>
    <row r="12">
      <c r="A12" t="inlineStr">
        <is>
          <t>EBIT</t>
        </is>
      </c>
      <c r="B12" s="8">
        <f>B10-B11</f>
        <v/>
      </c>
      <c r="C12" s="8">
        <f>C10-C11</f>
        <v/>
      </c>
      <c r="D12" s="8">
        <f>D10-D11</f>
        <v/>
      </c>
      <c r="E12" s="8">
        <f>E10-E11</f>
        <v/>
      </c>
      <c r="F12" s="8">
        <f>F10-F11</f>
        <v/>
      </c>
      <c r="G12" s="8">
        <f>G10-G11</f>
        <v/>
      </c>
      <c r="H12" s="8">
        <f>H10-H11</f>
        <v/>
      </c>
      <c r="I12" s="8">
        <f>I10-I11</f>
        <v/>
      </c>
      <c r="J12" s="8">
        <f>J10-J11</f>
        <v/>
      </c>
      <c r="K12" s="8">
        <f>K10-K11</f>
        <v/>
      </c>
      <c r="L12" s="8">
        <f>L10-L11</f>
        <v/>
      </c>
      <c r="M12" s="8">
        <f>M10-M11</f>
        <v/>
      </c>
      <c r="N12" s="8">
        <f>N10-N11</f>
        <v/>
      </c>
      <c r="O12" s="8">
        <f>O10-O11</f>
        <v/>
      </c>
      <c r="P12" s="8">
        <f>P10-P11</f>
        <v/>
      </c>
      <c r="Q12" s="8">
        <f>Q10-Q11</f>
        <v/>
      </c>
      <c r="R12" s="8">
        <f>R10-R11</f>
        <v/>
      </c>
      <c r="S12" s="8">
        <f>S10-S11</f>
        <v/>
      </c>
      <c r="T12" s="8">
        <f>T10-T11</f>
        <v/>
      </c>
      <c r="U12" s="8">
        <f>U10-U11</f>
        <v/>
      </c>
    </row>
    <row r="13">
      <c r="A13" t="inlineStr">
        <is>
          <t>Income Tax</t>
        </is>
      </c>
      <c r="B13" s="8">
        <f>MAX(0,B12)*Assumptions!$B$36</f>
        <v/>
      </c>
      <c r="C13" s="8">
        <f>MAX(0,C12)*Assumptions!$B$36</f>
        <v/>
      </c>
      <c r="D13" s="8">
        <f>MAX(0,D12)*Assumptions!$B$36</f>
        <v/>
      </c>
      <c r="E13" s="8">
        <f>MAX(0,E12)*Assumptions!$B$36</f>
        <v/>
      </c>
      <c r="F13" s="8">
        <f>MAX(0,F12)*Assumptions!$B$36</f>
        <v/>
      </c>
      <c r="G13" s="8">
        <f>MAX(0,G12)*Assumptions!$B$36</f>
        <v/>
      </c>
      <c r="H13" s="8">
        <f>MAX(0,H12)*Assumptions!$B$36</f>
        <v/>
      </c>
      <c r="I13" s="8">
        <f>MAX(0,I12)*Assumptions!$B$36</f>
        <v/>
      </c>
      <c r="J13" s="8">
        <f>MAX(0,J12)*Assumptions!$B$36</f>
        <v/>
      </c>
      <c r="K13" s="8">
        <f>MAX(0,K12)*Assumptions!$B$36</f>
        <v/>
      </c>
      <c r="L13" s="8">
        <f>MAX(0,L12)*Assumptions!$B$36</f>
        <v/>
      </c>
      <c r="M13" s="8">
        <f>MAX(0,M12)*Assumptions!$B$36</f>
        <v/>
      </c>
      <c r="N13" s="8">
        <f>MAX(0,N12)*Assumptions!$B$36</f>
        <v/>
      </c>
      <c r="O13" s="8">
        <f>MAX(0,O12)*Assumptions!$B$36</f>
        <v/>
      </c>
      <c r="P13" s="8">
        <f>MAX(0,P12)*Assumptions!$B$36</f>
        <v/>
      </c>
      <c r="Q13" s="8">
        <f>MAX(0,Q12)*Assumptions!$B$36</f>
        <v/>
      </c>
      <c r="R13" s="8">
        <f>MAX(0,R12)*Assumptions!$B$36</f>
        <v/>
      </c>
      <c r="S13" s="8">
        <f>MAX(0,S12)*Assumptions!$B$36</f>
        <v/>
      </c>
      <c r="T13" s="8">
        <f>MAX(0,T12)*Assumptions!$B$36</f>
        <v/>
      </c>
      <c r="U13" s="8">
        <f>MAX(0,U12)*Assumptions!$B$36</f>
        <v/>
      </c>
    </row>
    <row r="14">
      <c r="A14" t="inlineStr">
        <is>
          <t>Maintenance CapEx</t>
        </is>
      </c>
      <c r="B14" s="8">
        <f>B8*Assumptions!$B$34</f>
        <v/>
      </c>
      <c r="C14" s="8">
        <f>C8*Assumptions!$B$34</f>
        <v/>
      </c>
      <c r="D14" s="8">
        <f>D8*Assumptions!$B$34</f>
        <v/>
      </c>
      <c r="E14" s="8">
        <f>E8*Assumptions!$B$34</f>
        <v/>
      </c>
      <c r="F14" s="8">
        <f>F8*Assumptions!$B$34</f>
        <v/>
      </c>
      <c r="G14" s="8">
        <f>G8*Assumptions!$B$34</f>
        <v/>
      </c>
      <c r="H14" s="8">
        <f>H8*Assumptions!$B$34</f>
        <v/>
      </c>
      <c r="I14" s="8">
        <f>I8*Assumptions!$B$34</f>
        <v/>
      </c>
      <c r="J14" s="8">
        <f>J8*Assumptions!$B$34</f>
        <v/>
      </c>
      <c r="K14" s="8">
        <f>K8*Assumptions!$B$34</f>
        <v/>
      </c>
      <c r="L14" s="8">
        <f>L8*Assumptions!$B$34</f>
        <v/>
      </c>
      <c r="M14" s="8">
        <f>M8*Assumptions!$B$34</f>
        <v/>
      </c>
      <c r="N14" s="8">
        <f>N8*Assumptions!$B$34</f>
        <v/>
      </c>
      <c r="O14" s="8">
        <f>O8*Assumptions!$B$34</f>
        <v/>
      </c>
      <c r="P14" s="8">
        <f>P8*Assumptions!$B$34</f>
        <v/>
      </c>
      <c r="Q14" s="8">
        <f>Q8*Assumptions!$B$34</f>
        <v/>
      </c>
      <c r="R14" s="8">
        <f>R8*Assumptions!$B$34</f>
        <v/>
      </c>
      <c r="S14" s="8">
        <f>S8*Assumptions!$B$34</f>
        <v/>
      </c>
      <c r="T14" s="8">
        <f>T8*Assumptions!$B$34</f>
        <v/>
      </c>
      <c r="U14" s="8">
        <f>U8*Assumptions!$B$34</f>
        <v/>
      </c>
    </row>
    <row r="15">
      <c r="A15" t="inlineStr">
        <is>
          <t>Δ Net Working Capital</t>
        </is>
      </c>
      <c r="B15" s="8" t="n">
        <v>0</v>
      </c>
      <c r="C15" s="8" t="n">
        <v>0</v>
      </c>
      <c r="D15" s="8" t="n">
        <v>0</v>
      </c>
      <c r="E15" s="8">
        <f>(E8-D8)*Assumptions!$B$35</f>
        <v/>
      </c>
      <c r="F15" s="8">
        <f>(F8-E8)*Assumptions!$B$35</f>
        <v/>
      </c>
      <c r="G15" s="8">
        <f>(G8-F8)*Assumptions!$B$35</f>
        <v/>
      </c>
      <c r="H15" s="8">
        <f>(H8-G8)*Assumptions!$B$35</f>
        <v/>
      </c>
      <c r="I15" s="8">
        <f>(I8-H8)*Assumptions!$B$35</f>
        <v/>
      </c>
      <c r="J15" s="8">
        <f>(J8-I8)*Assumptions!$B$35</f>
        <v/>
      </c>
      <c r="K15" s="8">
        <f>(K8-J8)*Assumptions!$B$35</f>
        <v/>
      </c>
      <c r="L15" s="8">
        <f>(L8-K8)*Assumptions!$B$35</f>
        <v/>
      </c>
      <c r="M15" s="8">
        <f>(M8-L8)*Assumptions!$B$35</f>
        <v/>
      </c>
      <c r="N15" s="8">
        <f>(N8-M8)*Assumptions!$B$35</f>
        <v/>
      </c>
      <c r="O15" s="8">
        <f>(O8-N8)*Assumptions!$B$35</f>
        <v/>
      </c>
      <c r="P15" s="8">
        <f>(P8-O8)*Assumptions!$B$35</f>
        <v/>
      </c>
      <c r="Q15" s="8">
        <f>(Q8-P8)*Assumptions!$B$35</f>
        <v/>
      </c>
      <c r="R15" s="8">
        <f>(R8-Q8)*Assumptions!$B$35</f>
        <v/>
      </c>
      <c r="S15" s="8">
        <f>(S8-R8)*Assumptions!$B$35</f>
        <v/>
      </c>
      <c r="T15" s="8">
        <f>(T8-S8)*Assumptions!$B$35</f>
        <v/>
      </c>
      <c r="U15" s="8">
        <f>(U8-T8)*Assumptions!$B$35</f>
        <v/>
      </c>
    </row>
    <row r="16">
      <c r="A16" t="inlineStr">
        <is>
          <t>CFADS (EBITDA − Tax − Maint CapEx − ΔNWC)</t>
        </is>
      </c>
      <c r="B16" s="8">
        <f>B10-B13-B14-B15</f>
        <v/>
      </c>
      <c r="C16" s="8">
        <f>C10-C13-C14-C15</f>
        <v/>
      </c>
      <c r="D16" s="9">
        <f>D10-D13-D14-D15</f>
        <v/>
      </c>
      <c r="E16" s="9">
        <f>E10-E13-E14-E15</f>
        <v/>
      </c>
      <c r="F16" s="9">
        <f>F10-F13-F14-F15</f>
        <v/>
      </c>
      <c r="G16" s="9">
        <f>G10-G13-G14-G15</f>
        <v/>
      </c>
      <c r="H16" s="9">
        <f>H10-H13-H14-H15</f>
        <v/>
      </c>
      <c r="I16" s="9">
        <f>I10-I13-I14-I15</f>
        <v/>
      </c>
      <c r="J16" s="9">
        <f>J10-J13-J14-J15</f>
        <v/>
      </c>
      <c r="K16" s="9">
        <f>K10-K13-K14-K15</f>
        <v/>
      </c>
      <c r="L16" s="9">
        <f>L10-L13-L14-L15</f>
        <v/>
      </c>
      <c r="M16" s="9">
        <f>M10-M13-M14-M15</f>
        <v/>
      </c>
      <c r="N16" s="9">
        <f>N10-N13-N14-N15</f>
        <v/>
      </c>
      <c r="O16" s="9">
        <f>O10-O13-O14-O15</f>
        <v/>
      </c>
      <c r="P16" s="9">
        <f>P10-P13-P14-P15</f>
        <v/>
      </c>
      <c r="Q16" s="9">
        <f>Q10-Q13-Q14-Q15</f>
        <v/>
      </c>
      <c r="R16" s="9">
        <f>R10-R13-R14-R15</f>
        <v/>
      </c>
      <c r="S16" s="9">
        <f>S10-S13-S14-S15</f>
        <v/>
      </c>
      <c r="T16" s="9">
        <f>T10-T13-T14-T15</f>
        <v/>
      </c>
      <c r="U16" s="10">
        <f>U10-U13-U14-U15</f>
        <v/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selection activeCell="A1" sqref="A1"/>
    </sheetView>
  </sheetViews>
  <sheetFormatPr baseColWidth="8" defaultRowHeight="15"/>
  <cols>
    <col width="44" customWidth="1" min="1" max="1"/>
    <col width="18" customWidth="1" min="2" max="2"/>
    <col width="34" customWidth="1" min="3" max="3"/>
  </cols>
  <sheetData>
    <row r="1">
      <c r="A1" s="1" t="inlineStr">
        <is>
          <t>Senior Debt Sizing — DSCR &amp; LLCR Methods</t>
        </is>
      </c>
    </row>
    <row r="2">
      <c r="A2" t="inlineStr">
        <is>
          <t>Conservative debt = MIN(DSCR sizing, LLCR sizing, gearing cap)</t>
        </is>
      </c>
    </row>
    <row r="4">
      <c r="A4" s="2" t="inlineStr">
        <is>
          <t>CASH FLOW INPUT (FROM OPERATIONS)</t>
        </is>
      </c>
      <c r="B4" s="3" t="n"/>
      <c r="C4" s="3" t="n"/>
    </row>
    <row r="5">
      <c r="A5" t="inlineStr">
        <is>
          <t>CFADS — Op Y1 (first ops year)</t>
        </is>
      </c>
      <c r="B5" s="9">
        <f>'Operations'!D16</f>
        <v/>
      </c>
    </row>
    <row r="6">
      <c r="A6" t="inlineStr">
        <is>
          <t>Average CFADS (Op Y1–Y15)</t>
        </is>
      </c>
      <c r="B6" s="8">
        <f>AVERAGE('Operations'!D16,'Operations'!E16,'Operations'!F16,'Operations'!G16,'Operations'!H16,'Operations'!I16,'Operations'!J16,'Operations'!K16,'Operations'!L16,'Operations'!M16,'Operations'!N16,'Operations'!O16,'Operations'!P16,'Operations'!Q16,'Operations'!R16)</f>
        <v/>
      </c>
    </row>
    <row r="8">
      <c r="A8" s="2" t="inlineStr">
        <is>
          <t>METHOD 1 — LLCR SIZING</t>
        </is>
      </c>
      <c r="B8" s="3" t="n"/>
      <c r="C8" s="3" t="n"/>
    </row>
    <row r="9">
      <c r="A9" t="inlineStr">
        <is>
          <t>PV of CFADS (Op Y1–Y15, sizing window)</t>
        </is>
      </c>
      <c r="B9" s="9">
        <f>D16/(1+Assumptions!$B$46)^1+E16/(1+Assumptions!$B$46)^2+F16/(1+Assumptions!$B$46)^3+G16/(1+Assumptions!$B$46)^4+H16/(1+Assumptions!$B$46)^5+I16/(1+Assumptions!$B$46)^6+J16/(1+Assumptions!$B$46)^7+K16/(1+Assumptions!$B$46)^8+L16/(1+Assumptions!$B$46)^9+M16/(1+Assumptions!$B$46)^10+N16/(1+Assumptions!$B$46)^11+O16/(1+Assumptions!$B$46)^12+P16/(1+Assumptions!$B$46)^13+Q16/(1+Assumptions!$B$46)^14+R16/(1+Assumptions!$B$46)^15</f>
        <v/>
      </c>
    </row>
    <row r="10">
      <c r="A10" t="inlineStr">
        <is>
          <t>Max Senior Debt (LLCR Method)</t>
        </is>
      </c>
      <c r="B10" s="10">
        <f>B9/Assumptions!B50</f>
        <v/>
      </c>
      <c r="C10" t="inlineStr">
        <is>
          <t>PV(CFADS) ÷ Min LLCR covenant</t>
        </is>
      </c>
    </row>
    <row r="12">
      <c r="A12" s="2" t="inlineStr">
        <is>
          <t>METHOD 2 — DSCR SIZING (SCULPTED PV)</t>
        </is>
      </c>
      <c r="B12" s="3" t="n"/>
      <c r="C12" s="3" t="n"/>
    </row>
    <row r="13">
      <c r="A13" t="inlineStr">
        <is>
          <t>PV of Target Debt Service (CFADS ÷ Target DSCR)</t>
        </is>
      </c>
      <c r="B13" s="9">
        <f>('Operations'!D16/Assumptions!$B$47)/(1+Assumptions!$B$46)^1+('Operations'!E16/Assumptions!$B$47)/(1+Assumptions!$B$46)^2+('Operations'!F16/Assumptions!$B$47)/(1+Assumptions!$B$46)^3+('Operations'!G16/Assumptions!$B$47)/(1+Assumptions!$B$46)^4+('Operations'!H16/Assumptions!$B$47)/(1+Assumptions!$B$46)^5+('Operations'!I16/Assumptions!$B$47)/(1+Assumptions!$B$46)^6+('Operations'!J16/Assumptions!$B$47)/(1+Assumptions!$B$46)^7+('Operations'!K16/Assumptions!$B$47)/(1+Assumptions!$B$46)^8+('Operations'!L16/Assumptions!$B$47)/(1+Assumptions!$B$46)^9+('Operations'!M16/Assumptions!$B$47)/(1+Assumptions!$B$46)^10+('Operations'!N16/Assumptions!$B$47)/(1+Assumptions!$B$46)^11+('Operations'!O16/Assumptions!$B$47)/(1+Assumptions!$B$46)^12+('Operations'!P16/Assumptions!$B$47)/(1+Assumptions!$B$46)^13+('Operations'!Q16/Assumptions!$B$47)/(1+Assumptions!$B$46)^14+('Operations'!R16/Assumptions!$B$47)/(1+Assumptions!$B$46)^15</f>
        <v/>
      </c>
    </row>
    <row r="14">
      <c r="A14" t="inlineStr">
        <is>
          <t>Max Senior Debt (DSCR PV Method)</t>
        </is>
      </c>
      <c r="B14" s="10">
        <f>B13</f>
        <v/>
      </c>
      <c r="C14" t="inlineStr">
        <is>
          <t>PV(CFADS / Target DSCR) — sculpted sizing</t>
        </is>
      </c>
    </row>
    <row r="16">
      <c r="A16" s="2" t="inlineStr">
        <is>
          <t>METHOD 3 — GEARING CAP</t>
        </is>
      </c>
      <c r="B16" s="3" t="n"/>
      <c r="C16" s="3" t="n"/>
    </row>
    <row r="17">
      <c r="A17" t="inlineStr">
        <is>
          <t>Max Senior Debt (Gearing Cap)</t>
        </is>
      </c>
      <c r="B17" s="9">
        <f>Assumptions!B20*Assumptions!B23</f>
        <v/>
      </c>
      <c r="C17" t="inlineStr">
        <is>
          <t>TPC × Target Debt / TPC</t>
        </is>
      </c>
    </row>
    <row r="19">
      <c r="A19" s="2" t="inlineStr">
        <is>
          <t>SELECTED DEBT &amp; EQUITY</t>
        </is>
      </c>
      <c r="B19" s="3" t="n"/>
      <c r="C19" s="3" t="n"/>
    </row>
    <row r="20">
      <c r="A20" t="inlineStr">
        <is>
          <t>Selected Senior Debt (MIN of methods)</t>
        </is>
      </c>
      <c r="B20" s="17">
        <f>MIN(B10,B14,B17)</f>
        <v/>
      </c>
    </row>
    <row r="21">
      <c r="A21" t="inlineStr">
        <is>
          <t>Binding Constraint</t>
        </is>
      </c>
      <c r="B21" s="18">
        <f>IF(B20=B10,"LLCR",IF(B20=B14,"DSCR","Gearing Cap"))</f>
        <v/>
      </c>
    </row>
    <row r="22">
      <c r="A22" t="inlineStr">
        <is>
          <t>Required Sponsor Equity (TPC − Debt)</t>
        </is>
      </c>
      <c r="B22" s="10">
        <f>Assumptions!B20-B20</f>
        <v/>
      </c>
    </row>
    <row r="23">
      <c r="A23" t="inlineStr">
        <is>
          <t>Equity / TPC</t>
        </is>
      </c>
      <c r="B23" s="12">
        <f>B22/Assumptions!B20</f>
        <v/>
      </c>
    </row>
    <row r="24">
      <c r="A24" t="inlineStr">
        <is>
          <t>Construction Debt at COD (check)</t>
        </is>
      </c>
      <c r="B24" s="8">
        <f>'Construction Phase'!B22</f>
        <v/>
      </c>
    </row>
    <row r="26">
      <c r="A26" s="2" t="inlineStr">
        <is>
          <t>IMPLIED METRICS AT SIZING</t>
        </is>
      </c>
      <c r="B26" s="3" t="n"/>
      <c r="C26" s="3" t="n"/>
    </row>
    <row r="27">
      <c r="A27" t="inlineStr">
        <is>
          <t>Implied LLCR at Selected Debt</t>
        </is>
      </c>
      <c r="B27" s="19">
        <f>B9/B20</f>
        <v/>
      </c>
    </row>
    <row r="28">
      <c r="A28" t="inlineStr">
        <is>
          <t>Implied DSCR — Op Y1 (CFADS / Annuity DS proxy)</t>
        </is>
      </c>
      <c r="B28" s="20">
        <f>'Operations'!D16/(B20*Assumptions!B41+B20/Assumptions!B42)</f>
        <v/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U28"/>
  <sheetViews>
    <sheetView workbookViewId="0">
      <selection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1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1" customWidth="1" min="17" max="17"/>
    <col width="11" customWidth="1" min="18" max="18"/>
    <col width="11" customWidth="1" min="19" max="19"/>
    <col width="11" customWidth="1" min="20" max="20"/>
    <col width="11" customWidth="1" min="21" max="21"/>
  </cols>
  <sheetData>
    <row r="1">
      <c r="A1" s="1" t="inlineStr">
        <is>
          <t>Sculpted Senior Debt Schedule &amp; Covenant Tests</t>
        </is>
      </c>
    </row>
    <row r="2">
      <c r="A2" t="inlineStr">
        <is>
          <t>Debt service sculpted to Target DSCR; covenant headroom vs minimums</t>
        </is>
      </c>
    </row>
    <row r="4">
      <c r="A4" s="14" t="inlineStr">
        <is>
          <t>USD ($M)</t>
        </is>
      </c>
      <c r="B4" s="15" t="inlineStr">
        <is>
          <t>Con Y1</t>
        </is>
      </c>
      <c r="C4" s="15" t="inlineStr">
        <is>
          <t>Con Y2</t>
        </is>
      </c>
      <c r="D4" s="15" t="inlineStr">
        <is>
          <t>Op Y1</t>
        </is>
      </c>
      <c r="E4" s="15" t="inlineStr">
        <is>
          <t>Op Y2</t>
        </is>
      </c>
      <c r="F4" s="15" t="inlineStr">
        <is>
          <t>Op Y3</t>
        </is>
      </c>
      <c r="G4" s="15" t="inlineStr">
        <is>
          <t>Op Y4</t>
        </is>
      </c>
      <c r="H4" s="15" t="inlineStr">
        <is>
          <t>Op Y5</t>
        </is>
      </c>
      <c r="I4" s="15" t="inlineStr">
        <is>
          <t>Op Y6</t>
        </is>
      </c>
      <c r="J4" s="15" t="inlineStr">
        <is>
          <t>Op Y7</t>
        </is>
      </c>
      <c r="K4" s="15" t="inlineStr">
        <is>
          <t>Op Y8</t>
        </is>
      </c>
      <c r="L4" s="15" t="inlineStr">
        <is>
          <t>Op Y9</t>
        </is>
      </c>
      <c r="M4" s="15" t="inlineStr">
        <is>
          <t>Op Y10</t>
        </is>
      </c>
      <c r="N4" s="15" t="inlineStr">
        <is>
          <t>Op Y11</t>
        </is>
      </c>
      <c r="O4" s="15" t="inlineStr">
        <is>
          <t>Op Y12</t>
        </is>
      </c>
      <c r="P4" s="15" t="inlineStr">
        <is>
          <t>Op Y13</t>
        </is>
      </c>
      <c r="Q4" s="15" t="inlineStr">
        <is>
          <t>Op Y14</t>
        </is>
      </c>
      <c r="R4" s="15" t="inlineStr">
        <is>
          <t>Op Y15</t>
        </is>
      </c>
      <c r="S4" s="15" t="inlineStr">
        <is>
          <t>Op Y16</t>
        </is>
      </c>
      <c r="T4" s="15" t="inlineStr">
        <is>
          <t>Op Y17</t>
        </is>
      </c>
      <c r="U4" s="15" t="inlineStr">
        <is>
          <t>Op Y18</t>
        </is>
      </c>
    </row>
    <row r="5">
      <c r="A5" t="inlineStr">
        <is>
          <t>Period End</t>
        </is>
      </c>
      <c r="B5" s="16" t="inlineStr">
        <is>
          <t>31-Dec-25</t>
        </is>
      </c>
      <c r="C5" s="16" t="inlineStr">
        <is>
          <t>31-Dec-26</t>
        </is>
      </c>
      <c r="D5" s="16" t="inlineStr">
        <is>
          <t>31-Dec-27</t>
        </is>
      </c>
      <c r="E5" s="16" t="inlineStr">
        <is>
          <t>31-Dec-28</t>
        </is>
      </c>
      <c r="F5" s="16" t="inlineStr">
        <is>
          <t>31-Dec-29</t>
        </is>
      </c>
      <c r="G5" s="16" t="inlineStr">
        <is>
          <t>31-Dec-30</t>
        </is>
      </c>
      <c r="H5" s="16" t="inlineStr">
        <is>
          <t>31-Dec-31</t>
        </is>
      </c>
      <c r="I5" s="16" t="inlineStr">
        <is>
          <t>31-Dec-32</t>
        </is>
      </c>
      <c r="J5" s="16" t="inlineStr">
        <is>
          <t>31-Dec-33</t>
        </is>
      </c>
      <c r="K5" s="16" t="inlineStr">
        <is>
          <t>31-Dec-34</t>
        </is>
      </c>
      <c r="L5" s="16" t="inlineStr">
        <is>
          <t>31-Dec-35</t>
        </is>
      </c>
      <c r="M5" s="16" t="inlineStr">
        <is>
          <t>31-Dec-36</t>
        </is>
      </c>
      <c r="N5" s="16" t="inlineStr">
        <is>
          <t>31-Dec-37</t>
        </is>
      </c>
      <c r="O5" s="16" t="inlineStr">
        <is>
          <t>31-Dec-38</t>
        </is>
      </c>
      <c r="P5" s="16" t="inlineStr">
        <is>
          <t>31-Dec-39</t>
        </is>
      </c>
      <c r="Q5" s="16" t="inlineStr">
        <is>
          <t>31-Dec-40</t>
        </is>
      </c>
      <c r="R5" s="16" t="inlineStr">
        <is>
          <t>31-Dec-41</t>
        </is>
      </c>
      <c r="S5" s="16" t="inlineStr">
        <is>
          <t>31-Dec-42</t>
        </is>
      </c>
      <c r="T5" s="16" t="inlineStr">
        <is>
          <t>31-Dec-43</t>
        </is>
      </c>
      <c r="U5" s="16" t="inlineStr">
        <is>
          <t>31-Dec-44</t>
        </is>
      </c>
    </row>
    <row r="6">
      <c r="A6" s="2" t="inlineStr">
        <is>
          <t>SCULPTED SENIOR DEBT SCHEDULE</t>
        </is>
      </c>
      <c r="B6" s="3" t="n"/>
      <c r="C6" s="3" t="n"/>
      <c r="D6" s="3" t="n"/>
      <c r="E6" s="3" t="n"/>
      <c r="F6" s="3" t="n"/>
      <c r="G6" s="3" t="n"/>
      <c r="H6" s="3" t="n"/>
      <c r="I6" s="3" t="n"/>
      <c r="J6" s="3" t="n"/>
      <c r="K6" s="3" t="n"/>
      <c r="L6" s="3" t="n"/>
      <c r="M6" s="3" t="n"/>
      <c r="N6" s="3" t="n"/>
      <c r="O6" s="3" t="n"/>
      <c r="P6" s="3" t="n"/>
      <c r="Q6" s="3" t="n"/>
      <c r="R6" s="3" t="n"/>
      <c r="S6" s="3" t="n"/>
      <c r="T6" s="3" t="n"/>
      <c r="U6" s="3" t="n"/>
    </row>
    <row r="7">
      <c r="A7" t="inlineStr">
        <is>
          <t>Senior Debt — Opening Balance</t>
        </is>
      </c>
      <c r="B7" s="8" t="n">
        <v>0</v>
      </c>
      <c r="C7" s="8" t="n">
        <v>0</v>
      </c>
      <c r="D7" s="9">
        <f>'Debt Sizing'!$B$20</f>
        <v/>
      </c>
      <c r="E7" s="8">
        <f>D12</f>
        <v/>
      </c>
      <c r="F7" s="8">
        <f>E12</f>
        <v/>
      </c>
      <c r="G7" s="8">
        <f>F12</f>
        <v/>
      </c>
      <c r="H7" s="8">
        <f>G12</f>
        <v/>
      </c>
      <c r="I7" s="8">
        <f>H12</f>
        <v/>
      </c>
      <c r="J7" s="8">
        <f>I12</f>
        <v/>
      </c>
      <c r="K7" s="8">
        <f>J12</f>
        <v/>
      </c>
      <c r="L7" s="8">
        <f>K12</f>
        <v/>
      </c>
      <c r="M7" s="8">
        <f>L12</f>
        <v/>
      </c>
      <c r="N7" s="8">
        <f>M12</f>
        <v/>
      </c>
      <c r="O7" s="8">
        <f>N12</f>
        <v/>
      </c>
      <c r="P7" s="8">
        <f>O12</f>
        <v/>
      </c>
      <c r="Q7" s="8">
        <f>P12</f>
        <v/>
      </c>
      <c r="R7" s="8">
        <f>Q12</f>
        <v/>
      </c>
      <c r="S7" s="8">
        <f>R12</f>
        <v/>
      </c>
      <c r="T7" s="8">
        <f>S12</f>
        <v/>
      </c>
      <c r="U7" s="8">
        <f>T12</f>
        <v/>
      </c>
    </row>
    <row r="8">
      <c r="A8" t="inlineStr">
        <is>
          <t>CFADS</t>
        </is>
      </c>
      <c r="B8" s="8">
        <f>'Operations'!B16</f>
        <v/>
      </c>
      <c r="C8" s="8">
        <f>'Operations'!C16</f>
        <v/>
      </c>
      <c r="D8" s="8">
        <f>'Operations'!D16</f>
        <v/>
      </c>
      <c r="E8" s="8">
        <f>'Operations'!E16</f>
        <v/>
      </c>
      <c r="F8" s="8">
        <f>'Operations'!F16</f>
        <v/>
      </c>
      <c r="G8" s="8">
        <f>'Operations'!G16</f>
        <v/>
      </c>
      <c r="H8" s="8">
        <f>'Operations'!H16</f>
        <v/>
      </c>
      <c r="I8" s="8">
        <f>'Operations'!I16</f>
        <v/>
      </c>
      <c r="J8" s="8">
        <f>'Operations'!J16</f>
        <v/>
      </c>
      <c r="K8" s="8">
        <f>'Operations'!K16</f>
        <v/>
      </c>
      <c r="L8" s="8">
        <f>'Operations'!L16</f>
        <v/>
      </c>
      <c r="M8" s="8">
        <f>'Operations'!M16</f>
        <v/>
      </c>
      <c r="N8" s="8">
        <f>'Operations'!N16</f>
        <v/>
      </c>
      <c r="O8" s="8">
        <f>'Operations'!O16</f>
        <v/>
      </c>
      <c r="P8" s="8">
        <f>'Operations'!P16</f>
        <v/>
      </c>
      <c r="Q8" s="8">
        <f>'Operations'!Q16</f>
        <v/>
      </c>
      <c r="R8" s="8">
        <f>'Operations'!R16</f>
        <v/>
      </c>
      <c r="S8" s="8">
        <f>'Operations'!S16</f>
        <v/>
      </c>
      <c r="T8" s="8">
        <f>'Operations'!T16</f>
        <v/>
      </c>
      <c r="U8" s="8">
        <f>'Operations'!U16</f>
        <v/>
      </c>
    </row>
    <row r="9">
      <c r="A9" t="inlineStr">
        <is>
          <t>Sculpted Total Debt Service (CFADS ÷ Target DSCR)</t>
        </is>
      </c>
      <c r="B9" s="8" t="n">
        <v>0</v>
      </c>
      <c r="C9" s="8" t="n">
        <v>0</v>
      </c>
      <c r="D9" s="9">
        <f>IF(1&lt;=Assumptions!$B$43,0,IF(D7=0,0,D8/Assumptions!$B$48))</f>
        <v/>
      </c>
      <c r="E9" s="9">
        <f>IF(2&lt;=Assumptions!$B$43,0,IF(E7=0,0,E8/Assumptions!$B$48))</f>
        <v/>
      </c>
      <c r="F9" s="9">
        <f>IF(3&lt;=Assumptions!$B$43,0,IF(F7=0,0,F8/Assumptions!$B$48))</f>
        <v/>
      </c>
      <c r="G9" s="9">
        <f>IF(4&lt;=Assumptions!$B$43,0,IF(G7=0,0,G8/Assumptions!$B$48))</f>
        <v/>
      </c>
      <c r="H9" s="9">
        <f>IF(5&lt;=Assumptions!$B$43,0,IF(H7=0,0,H8/Assumptions!$B$48))</f>
        <v/>
      </c>
      <c r="I9" s="9">
        <f>IF(6&lt;=Assumptions!$B$43,0,IF(I7=0,0,I8/Assumptions!$B$48))</f>
        <v/>
      </c>
      <c r="J9" s="9">
        <f>IF(7&lt;=Assumptions!$B$43,0,IF(J7=0,0,J8/Assumptions!$B$48))</f>
        <v/>
      </c>
      <c r="K9" s="9">
        <f>IF(8&lt;=Assumptions!$B$43,0,IF(K7=0,0,K8/Assumptions!$B$48))</f>
        <v/>
      </c>
      <c r="L9" s="9">
        <f>IF(9&lt;=Assumptions!$B$43,0,IF(L7=0,0,L8/Assumptions!$B$48))</f>
        <v/>
      </c>
      <c r="M9" s="9">
        <f>IF(10&lt;=Assumptions!$B$43,0,IF(M7=0,0,M8/Assumptions!$B$48))</f>
        <v/>
      </c>
      <c r="N9" s="9">
        <f>IF(11&lt;=Assumptions!$B$43,0,IF(N7=0,0,N8/Assumptions!$B$48))</f>
        <v/>
      </c>
      <c r="O9" s="9">
        <f>IF(12&lt;=Assumptions!$B$43,0,IF(O7=0,0,O8/Assumptions!$B$48))</f>
        <v/>
      </c>
      <c r="P9" s="9">
        <f>IF(13&lt;=Assumptions!$B$43,0,IF(P7=0,0,P8/Assumptions!$B$48))</f>
        <v/>
      </c>
      <c r="Q9" s="9">
        <f>IF(14&lt;=Assumptions!$B$43,0,IF(Q7=0,0,Q8/Assumptions!$B$48))</f>
        <v/>
      </c>
      <c r="R9" s="9">
        <f>IF(15&lt;=Assumptions!$B$43,0,IF(R7=0,0,R8/Assumptions!$B$48))</f>
        <v/>
      </c>
      <c r="S9" s="9">
        <f>IF(16&lt;=Assumptions!$B$43,0,IF(S7=0,0,S8/Assumptions!$B$48))</f>
        <v/>
      </c>
      <c r="T9" s="9">
        <f>IF(17&lt;=Assumptions!$B$43,0,IF(T7=0,0,T8/Assumptions!$B$48))</f>
        <v/>
      </c>
      <c r="U9" s="9">
        <f>IF(18&lt;=Assumptions!$B$43,0,IF(U7=0,0,U8/Assumptions!$B$48))</f>
        <v/>
      </c>
    </row>
    <row r="10">
      <c r="A10" t="inlineStr">
        <is>
          <t>Cash Interest</t>
        </is>
      </c>
      <c r="B10" s="8">
        <f>B7*Assumptions!$B$41</f>
        <v/>
      </c>
      <c r="C10" s="8">
        <f>C7*Assumptions!$B$41</f>
        <v/>
      </c>
      <c r="D10" s="8">
        <f>D7*Assumptions!$B$41</f>
        <v/>
      </c>
      <c r="E10" s="8">
        <f>E7*Assumptions!$B$41</f>
        <v/>
      </c>
      <c r="F10" s="8">
        <f>F7*Assumptions!$B$41</f>
        <v/>
      </c>
      <c r="G10" s="8">
        <f>G7*Assumptions!$B$41</f>
        <v/>
      </c>
      <c r="H10" s="8">
        <f>H7*Assumptions!$B$41</f>
        <v/>
      </c>
      <c r="I10" s="8">
        <f>I7*Assumptions!$B$41</f>
        <v/>
      </c>
      <c r="J10" s="8">
        <f>J7*Assumptions!$B$41</f>
        <v/>
      </c>
      <c r="K10" s="8">
        <f>K7*Assumptions!$B$41</f>
        <v/>
      </c>
      <c r="L10" s="8">
        <f>L7*Assumptions!$B$41</f>
        <v/>
      </c>
      <c r="M10" s="8">
        <f>M7*Assumptions!$B$41</f>
        <v/>
      </c>
      <c r="N10" s="8">
        <f>N7*Assumptions!$B$41</f>
        <v/>
      </c>
      <c r="O10" s="8">
        <f>O7*Assumptions!$B$41</f>
        <v/>
      </c>
      <c r="P10" s="8">
        <f>P7*Assumptions!$B$41</f>
        <v/>
      </c>
      <c r="Q10" s="8">
        <f>Q7*Assumptions!$B$41</f>
        <v/>
      </c>
      <c r="R10" s="8">
        <f>R7*Assumptions!$B$41</f>
        <v/>
      </c>
      <c r="S10" s="8">
        <f>S7*Assumptions!$B$41</f>
        <v/>
      </c>
      <c r="T10" s="8">
        <f>T7*Assumptions!$B$41</f>
        <v/>
      </c>
      <c r="U10" s="8">
        <f>U7*Assumptions!$B$41</f>
        <v/>
      </c>
    </row>
    <row r="11">
      <c r="A11" t="inlineStr">
        <is>
          <t>Scheduled Principal Repayment</t>
        </is>
      </c>
      <c r="B11" s="8">
        <f>MAX(0,B9-B10)</f>
        <v/>
      </c>
      <c r="C11" s="8">
        <f>MAX(0,C9-C10)</f>
        <v/>
      </c>
      <c r="D11" s="8">
        <f>MAX(0,D9-D10)</f>
        <v/>
      </c>
      <c r="E11" s="8">
        <f>MAX(0,E9-E10)</f>
        <v/>
      </c>
      <c r="F11" s="8">
        <f>MAX(0,F9-F10)</f>
        <v/>
      </c>
      <c r="G11" s="8">
        <f>MAX(0,G9-G10)</f>
        <v/>
      </c>
      <c r="H11" s="8">
        <f>MAX(0,H9-H10)</f>
        <v/>
      </c>
      <c r="I11" s="8">
        <f>MAX(0,I9-I10)</f>
        <v/>
      </c>
      <c r="J11" s="8">
        <f>MAX(0,J9-J10)</f>
        <v/>
      </c>
      <c r="K11" s="8">
        <f>MAX(0,K9-K10)</f>
        <v/>
      </c>
      <c r="L11" s="8">
        <f>MAX(0,L9-L10)</f>
        <v/>
      </c>
      <c r="M11" s="8">
        <f>MAX(0,M9-M10)</f>
        <v/>
      </c>
      <c r="N11" s="8">
        <f>MAX(0,N9-N10)</f>
        <v/>
      </c>
      <c r="O11" s="8">
        <f>MAX(0,O9-O10)</f>
        <v/>
      </c>
      <c r="P11" s="8">
        <f>MAX(0,P9-P10)</f>
        <v/>
      </c>
      <c r="Q11" s="8">
        <f>MAX(0,Q9-Q10)</f>
        <v/>
      </c>
      <c r="R11" s="8">
        <f>MAX(0,R9-R10)</f>
        <v/>
      </c>
      <c r="S11" s="8">
        <f>MAX(0,S9-S10)</f>
        <v/>
      </c>
      <c r="T11" s="8">
        <f>MAX(0,T9-T10)</f>
        <v/>
      </c>
      <c r="U11" s="8">
        <f>MAX(0,U9-U10)</f>
        <v/>
      </c>
    </row>
    <row r="12">
      <c r="A12" t="inlineStr">
        <is>
          <t>Senior Debt — Closing Balance</t>
        </is>
      </c>
      <c r="B12" s="8">
        <f>MAX(0,B7-B11)</f>
        <v/>
      </c>
      <c r="C12" s="8">
        <f>MAX(0,C7-C11)</f>
        <v/>
      </c>
      <c r="D12" s="8">
        <f>MAX(0,D7-D11)</f>
        <v/>
      </c>
      <c r="E12" s="8">
        <f>MAX(0,E7-E11)</f>
        <v/>
      </c>
      <c r="F12" s="8">
        <f>MAX(0,F7-F11)</f>
        <v/>
      </c>
      <c r="G12" s="8">
        <f>MAX(0,G7-G11)</f>
        <v/>
      </c>
      <c r="H12" s="8">
        <f>MAX(0,H7-H11)</f>
        <v/>
      </c>
      <c r="I12" s="8">
        <f>MAX(0,I7-I11)</f>
        <v/>
      </c>
      <c r="J12" s="8">
        <f>MAX(0,J7-J11)</f>
        <v/>
      </c>
      <c r="K12" s="8">
        <f>MAX(0,K7-K11)</f>
        <v/>
      </c>
      <c r="L12" s="8">
        <f>MAX(0,L7-L11)</f>
        <v/>
      </c>
      <c r="M12" s="8">
        <f>MAX(0,M7-M11)</f>
        <v/>
      </c>
      <c r="N12" s="8">
        <f>MAX(0,N7-N11)</f>
        <v/>
      </c>
      <c r="O12" s="8">
        <f>MAX(0,O7-O11)</f>
        <v/>
      </c>
      <c r="P12" s="8">
        <f>MAX(0,P7-P11)</f>
        <v/>
      </c>
      <c r="Q12" s="8">
        <f>MAX(0,Q7-Q11)</f>
        <v/>
      </c>
      <c r="R12" s="8">
        <f>MAX(0,R7-R11)</f>
        <v/>
      </c>
      <c r="S12" s="8">
        <f>MAX(0,S7-S11)</f>
        <v/>
      </c>
      <c r="T12" s="8">
        <f>MAX(0,T7-T11)</f>
        <v/>
      </c>
      <c r="U12" s="10">
        <f>MAX(0,U7-U11)</f>
        <v/>
      </c>
    </row>
    <row r="14">
      <c r="A14" s="2" t="inlineStr">
        <is>
          <t>COVENANT TESTS</t>
        </is>
      </c>
      <c r="B14" s="3" t="n"/>
      <c r="C14" s="3" t="n"/>
      <c r="D14" s="3" t="n"/>
      <c r="E14" s="3" t="n"/>
      <c r="F14" s="3" t="n"/>
      <c r="G14" s="3" t="n"/>
      <c r="H14" s="3" t="n"/>
      <c r="I14" s="3" t="n"/>
      <c r="J14" s="3" t="n"/>
      <c r="K14" s="3" t="n"/>
      <c r="L14" s="3" t="n"/>
      <c r="M14" s="3" t="n"/>
      <c r="N14" s="3" t="n"/>
      <c r="O14" s="3" t="n"/>
      <c r="P14" s="3" t="n"/>
      <c r="Q14" s="3" t="n"/>
      <c r="R14" s="3" t="n"/>
      <c r="S14" s="3" t="n"/>
      <c r="T14" s="3" t="n"/>
      <c r="U14" s="3" t="n"/>
    </row>
    <row r="15">
      <c r="A15" t="inlineStr">
        <is>
          <t>DSCR (CFADS ÷ Total Debt Service)</t>
        </is>
      </c>
      <c r="B15" s="20">
        <f>IF(B9=0,"",B8/B9)</f>
        <v/>
      </c>
      <c r="C15" s="20">
        <f>IF(C9=0,"",C8/C9)</f>
        <v/>
      </c>
      <c r="D15" s="21">
        <f>IF(D9=0,"",D8/D9)</f>
        <v/>
      </c>
      <c r="E15" s="21">
        <f>IF(E9=0,"",E8/E9)</f>
        <v/>
      </c>
      <c r="F15" s="21">
        <f>IF(F9=0,"",F8/F9)</f>
        <v/>
      </c>
      <c r="G15" s="21">
        <f>IF(G9=0,"",G8/G9)</f>
        <v/>
      </c>
      <c r="H15" s="21">
        <f>IF(H9=0,"",H8/H9)</f>
        <v/>
      </c>
      <c r="I15" s="21">
        <f>IF(I9=0,"",I8/I9)</f>
        <v/>
      </c>
      <c r="J15" s="21">
        <f>IF(J9=0,"",J8/J9)</f>
        <v/>
      </c>
      <c r="K15" s="21">
        <f>IF(K9=0,"",K8/K9)</f>
        <v/>
      </c>
      <c r="L15" s="21">
        <f>IF(L9=0,"",L8/L9)</f>
        <v/>
      </c>
      <c r="M15" s="21">
        <f>IF(M9=0,"",M8/M9)</f>
        <v/>
      </c>
      <c r="N15" s="21">
        <f>IF(N9=0,"",N8/N9)</f>
        <v/>
      </c>
      <c r="O15" s="21">
        <f>IF(O9=0,"",O8/O9)</f>
        <v/>
      </c>
      <c r="P15" s="21">
        <f>IF(P9=0,"",P8/P9)</f>
        <v/>
      </c>
      <c r="Q15" s="21">
        <f>IF(Q9=0,"",Q8/Q9)</f>
        <v/>
      </c>
      <c r="R15" s="21">
        <f>IF(R9=0,"",R8/R9)</f>
        <v/>
      </c>
      <c r="S15" s="21">
        <f>IF(S9=0,"",S8/S9)</f>
        <v/>
      </c>
      <c r="T15" s="21">
        <f>IF(T9=0,"",T8/T9)</f>
        <v/>
      </c>
      <c r="U15" s="21">
        <f>IF(U9=0,"",U8/U9)</f>
        <v/>
      </c>
    </row>
    <row r="16">
      <c r="A16" t="inlineStr">
        <is>
          <t>Minimum DSCR Covenant</t>
        </is>
      </c>
      <c r="B16" s="20">
        <f>Assumptions!$B$49</f>
        <v/>
      </c>
      <c r="C16" s="20">
        <f>Assumptions!$B$49</f>
        <v/>
      </c>
      <c r="D16" s="20">
        <f>Assumptions!$B$49</f>
        <v/>
      </c>
      <c r="E16" s="20">
        <f>Assumptions!$B$49</f>
        <v/>
      </c>
      <c r="F16" s="20">
        <f>Assumptions!$B$49</f>
        <v/>
      </c>
      <c r="G16" s="20">
        <f>Assumptions!$B$49</f>
        <v/>
      </c>
      <c r="H16" s="20">
        <f>Assumptions!$B$49</f>
        <v/>
      </c>
      <c r="I16" s="20">
        <f>Assumptions!$B$49</f>
        <v/>
      </c>
      <c r="J16" s="20">
        <f>Assumptions!$B$49</f>
        <v/>
      </c>
      <c r="K16" s="20">
        <f>Assumptions!$B$49</f>
        <v/>
      </c>
      <c r="L16" s="20">
        <f>Assumptions!$B$49</f>
        <v/>
      </c>
      <c r="M16" s="20">
        <f>Assumptions!$B$49</f>
        <v/>
      </c>
      <c r="N16" s="20">
        <f>Assumptions!$B$49</f>
        <v/>
      </c>
      <c r="O16" s="20">
        <f>Assumptions!$B$49</f>
        <v/>
      </c>
      <c r="P16" s="20">
        <f>Assumptions!$B$49</f>
        <v/>
      </c>
      <c r="Q16" s="20">
        <f>Assumptions!$B$49</f>
        <v/>
      </c>
      <c r="R16" s="20">
        <f>Assumptions!$B$49</f>
        <v/>
      </c>
      <c r="S16" s="20">
        <f>Assumptions!$B$49</f>
        <v/>
      </c>
      <c r="T16" s="20">
        <f>Assumptions!$B$49</f>
        <v/>
      </c>
      <c r="U16" s="20">
        <f>Assumptions!$B$49</f>
        <v/>
      </c>
    </row>
    <row r="17">
      <c r="A17" t="inlineStr">
        <is>
          <t>DSCR Headroom (Actual − Min)</t>
        </is>
      </c>
      <c r="B17" s="22">
        <f>IF(B15="","",B15-B16)</f>
        <v/>
      </c>
      <c r="C17" s="22">
        <f>IF(C15="","",C15-C16)</f>
        <v/>
      </c>
      <c r="D17" s="22">
        <f>IF(D15="","",D15-D16)</f>
        <v/>
      </c>
      <c r="E17" s="22">
        <f>IF(E15="","",E15-E16)</f>
        <v/>
      </c>
      <c r="F17" s="22">
        <f>IF(F15="","",F15-F16)</f>
        <v/>
      </c>
      <c r="G17" s="22">
        <f>IF(G15="","",G15-G16)</f>
        <v/>
      </c>
      <c r="H17" s="22">
        <f>IF(H15="","",H15-H16)</f>
        <v/>
      </c>
      <c r="I17" s="22">
        <f>IF(I15="","",I15-I16)</f>
        <v/>
      </c>
      <c r="J17" s="22">
        <f>IF(J15="","",J15-J16)</f>
        <v/>
      </c>
      <c r="K17" s="22">
        <f>IF(K15="","",K15-K16)</f>
        <v/>
      </c>
      <c r="L17" s="22">
        <f>IF(L15="","",L15-L16)</f>
        <v/>
      </c>
      <c r="M17" s="22">
        <f>IF(M15="","",M15-M16)</f>
        <v/>
      </c>
      <c r="N17" s="22">
        <f>IF(N15="","",N15-N16)</f>
        <v/>
      </c>
      <c r="O17" s="22">
        <f>IF(O15="","",O15-O16)</f>
        <v/>
      </c>
      <c r="P17" s="22">
        <f>IF(P15="","",P15-P16)</f>
        <v/>
      </c>
      <c r="Q17" s="22">
        <f>IF(Q15="","",Q15-Q16)</f>
        <v/>
      </c>
      <c r="R17" s="22">
        <f>IF(R15="","",R15-R16)</f>
        <v/>
      </c>
      <c r="S17" s="22">
        <f>IF(S15="","",S15-S16)</f>
        <v/>
      </c>
      <c r="T17" s="22">
        <f>IF(T15="","",T15-T16)</f>
        <v/>
      </c>
      <c r="U17" s="22">
        <f>IF(U15="","",U15-U16)</f>
        <v/>
      </c>
    </row>
    <row r="18">
      <c r="A18" t="inlineStr">
        <is>
          <t>DSCR Covenant — Pass?</t>
        </is>
      </c>
      <c r="B18" s="18">
        <f>IF(B15="","",IF(B15&gt;=B16,"Pass","Fail"))</f>
        <v/>
      </c>
      <c r="C18" s="18">
        <f>IF(C15="","",IF(C15&gt;=C16,"Pass","Fail"))</f>
        <v/>
      </c>
      <c r="D18" s="18">
        <f>IF(D15="","",IF(D15&gt;=D16,"Pass","Fail"))</f>
        <v/>
      </c>
      <c r="E18" s="18">
        <f>IF(E15="","",IF(E15&gt;=E16,"Pass","Fail"))</f>
        <v/>
      </c>
      <c r="F18" s="18">
        <f>IF(F15="","",IF(F15&gt;=F16,"Pass","Fail"))</f>
        <v/>
      </c>
      <c r="G18" s="18">
        <f>IF(G15="","",IF(G15&gt;=G16,"Pass","Fail"))</f>
        <v/>
      </c>
      <c r="H18" s="18">
        <f>IF(H15="","",IF(H15&gt;=H16,"Pass","Fail"))</f>
        <v/>
      </c>
      <c r="I18" s="18">
        <f>IF(I15="","",IF(I15&gt;=I16,"Pass","Fail"))</f>
        <v/>
      </c>
      <c r="J18" s="18">
        <f>IF(J15="","",IF(J15&gt;=J16,"Pass","Fail"))</f>
        <v/>
      </c>
      <c r="K18" s="18">
        <f>IF(K15="","",IF(K15&gt;=K16,"Pass","Fail"))</f>
        <v/>
      </c>
      <c r="L18" s="18">
        <f>IF(L15="","",IF(L15&gt;=L16,"Pass","Fail"))</f>
        <v/>
      </c>
      <c r="M18" s="18">
        <f>IF(M15="","",IF(M15&gt;=M16,"Pass","Fail"))</f>
        <v/>
      </c>
      <c r="N18" s="18">
        <f>IF(N15="","",IF(N15&gt;=N16,"Pass","Fail"))</f>
        <v/>
      </c>
      <c r="O18" s="18">
        <f>IF(O15="","",IF(O15&gt;=O16,"Pass","Fail"))</f>
        <v/>
      </c>
      <c r="P18" s="18">
        <f>IF(P15="","",IF(P15&gt;=P16,"Pass","Fail"))</f>
        <v/>
      </c>
      <c r="Q18" s="18">
        <f>IF(Q15="","",IF(Q15&gt;=Q16,"Pass","Fail"))</f>
        <v/>
      </c>
      <c r="R18" s="18">
        <f>IF(R15="","",IF(R15&gt;=R16,"Pass","Fail"))</f>
        <v/>
      </c>
      <c r="S18" s="18">
        <f>IF(S15="","",IF(S15&gt;=S16,"Pass","Fail"))</f>
        <v/>
      </c>
      <c r="T18" s="18">
        <f>IF(T15="","",IF(T15&gt;=T16,"Pass","Fail"))</f>
        <v/>
      </c>
      <c r="U18" s="18">
        <f>IF(U15="","",IF(U15&gt;=U16,"Pass","Fail"))</f>
        <v/>
      </c>
    </row>
    <row r="20">
      <c r="A20" t="inlineStr">
        <is>
          <t>LLCR Numerator — PV(CFADS, Op Y1–Y15)</t>
        </is>
      </c>
      <c r="B20" s="9">
        <f>D16/(1+Assumptions!$B$46)^1+E16/(1+Assumptions!$B$46)^2+F16/(1+Assumptions!$B$46)^3+G16/(1+Assumptions!$B$46)^4+H16/(1+Assumptions!$B$46)^5+I16/(1+Assumptions!$B$46)^6+J16/(1+Assumptions!$B$46)^7+K16/(1+Assumptions!$B$46)^8+L16/(1+Assumptions!$B$46)^9+M16/(1+Assumptions!$B$46)^10+N16/(1+Assumptions!$B$46)^11+O16/(1+Assumptions!$B$46)^12+P16/(1+Assumptions!$B$46)^13+Q16/(1+Assumptions!$B$46)^14+R16/(1+Assumptions!$B$46)^15</f>
        <v/>
      </c>
      <c r="C20" s="8">
        <f>$B$20</f>
        <v/>
      </c>
      <c r="D20" s="8">
        <f>$B$20</f>
        <v/>
      </c>
      <c r="E20" s="8">
        <f>$B$20</f>
        <v/>
      </c>
      <c r="F20" s="8">
        <f>$B$20</f>
        <v/>
      </c>
      <c r="G20" s="8">
        <f>$B$20</f>
        <v/>
      </c>
      <c r="H20" s="8">
        <f>$B$20</f>
        <v/>
      </c>
      <c r="I20" s="8">
        <f>$B$20</f>
        <v/>
      </c>
      <c r="J20" s="8">
        <f>$B$20</f>
        <v/>
      </c>
      <c r="K20" s="8">
        <f>$B$20</f>
        <v/>
      </c>
      <c r="L20" s="8">
        <f>$B$20</f>
        <v/>
      </c>
      <c r="M20" s="8">
        <f>$B$20</f>
        <v/>
      </c>
      <c r="N20" s="8">
        <f>$B$20</f>
        <v/>
      </c>
      <c r="O20" s="8">
        <f>$B$20</f>
        <v/>
      </c>
      <c r="P20" s="8">
        <f>$B$20</f>
        <v/>
      </c>
      <c r="Q20" s="8">
        <f>$B$20</f>
        <v/>
      </c>
      <c r="R20" s="8">
        <f>$B$20</f>
        <v/>
      </c>
      <c r="S20" s="8">
        <f>$B$20</f>
        <v/>
      </c>
      <c r="T20" s="8">
        <f>$B$20</f>
        <v/>
      </c>
      <c r="U20" s="8">
        <f>$B$20</f>
        <v/>
      </c>
    </row>
    <row r="21">
      <c r="A21" t="inlineStr">
        <is>
          <t>LLCR Denominator — Debt Outstanding</t>
        </is>
      </c>
      <c r="B21" s="8" t="n">
        <v>0</v>
      </c>
      <c r="C21" s="8" t="n">
        <v>0</v>
      </c>
      <c r="D21" s="8">
        <f>D7</f>
        <v/>
      </c>
      <c r="E21" s="8">
        <f>E7</f>
        <v/>
      </c>
      <c r="F21" s="8">
        <f>F7</f>
        <v/>
      </c>
      <c r="G21" s="8">
        <f>G7</f>
        <v/>
      </c>
      <c r="H21" s="8">
        <f>H7</f>
        <v/>
      </c>
      <c r="I21" s="8">
        <f>I7</f>
        <v/>
      </c>
      <c r="J21" s="8">
        <f>J7</f>
        <v/>
      </c>
      <c r="K21" s="8">
        <f>K7</f>
        <v/>
      </c>
      <c r="L21" s="8">
        <f>L7</f>
        <v/>
      </c>
      <c r="M21" s="8">
        <f>M7</f>
        <v/>
      </c>
      <c r="N21" s="8">
        <f>N7</f>
        <v/>
      </c>
      <c r="O21" s="8">
        <f>O7</f>
        <v/>
      </c>
      <c r="P21" s="8">
        <f>P7</f>
        <v/>
      </c>
      <c r="Q21" s="8">
        <f>Q7</f>
        <v/>
      </c>
      <c r="R21" s="8">
        <f>R7</f>
        <v/>
      </c>
      <c r="S21" s="8">
        <f>S7</f>
        <v/>
      </c>
      <c r="T21" s="8">
        <f>T7</f>
        <v/>
      </c>
      <c r="U21" s="8">
        <f>U7</f>
        <v/>
      </c>
    </row>
    <row r="22">
      <c r="A22" t="inlineStr">
        <is>
          <t>LLCR (PV CFADS ÷ Opening Debt)</t>
        </is>
      </c>
      <c r="B22" s="20">
        <f>IF(B21=0,"",B20/B21)</f>
        <v/>
      </c>
      <c r="C22" s="20">
        <f>IF(C21=0,"",C20/C21)</f>
        <v/>
      </c>
      <c r="D22" s="19">
        <f>IF(D21=0,"",D20/D21)</f>
        <v/>
      </c>
      <c r="E22" s="21">
        <f>IF(E21=0,"",E20/E21)</f>
        <v/>
      </c>
      <c r="F22" s="21">
        <f>IF(F21=0,"",F20/F21)</f>
        <v/>
      </c>
      <c r="G22" s="21">
        <f>IF(G21=0,"",G20/G21)</f>
        <v/>
      </c>
      <c r="H22" s="21">
        <f>IF(H21=0,"",H20/H21)</f>
        <v/>
      </c>
      <c r="I22" s="21">
        <f>IF(I21=0,"",I20/I21)</f>
        <v/>
      </c>
      <c r="J22" s="21">
        <f>IF(J21=0,"",J20/J21)</f>
        <v/>
      </c>
      <c r="K22" s="21">
        <f>IF(K21=0,"",K20/K21)</f>
        <v/>
      </c>
      <c r="L22" s="21">
        <f>IF(L21=0,"",L20/L21)</f>
        <v/>
      </c>
      <c r="M22" s="21">
        <f>IF(M21=0,"",M20/M21)</f>
        <v/>
      </c>
      <c r="N22" s="21">
        <f>IF(N21=0,"",N20/N21)</f>
        <v/>
      </c>
      <c r="O22" s="21">
        <f>IF(O21=0,"",O20/O21)</f>
        <v/>
      </c>
      <c r="P22" s="21">
        <f>IF(P21=0,"",P20/P21)</f>
        <v/>
      </c>
      <c r="Q22" s="21">
        <f>IF(Q21=0,"",Q20/Q21)</f>
        <v/>
      </c>
      <c r="R22" s="21">
        <f>IF(R21=0,"",R20/R21)</f>
        <v/>
      </c>
      <c r="S22" s="21">
        <f>IF(S21=0,"",S20/S21)</f>
        <v/>
      </c>
      <c r="T22" s="21">
        <f>IF(T21=0,"",T20/T21)</f>
        <v/>
      </c>
      <c r="U22" s="21">
        <f>IF(U21=0,"",U20/U21)</f>
        <v/>
      </c>
    </row>
    <row r="23">
      <c r="A23" t="inlineStr">
        <is>
          <t>Minimum LLCR Covenant</t>
        </is>
      </c>
      <c r="B23" s="20">
        <f>Assumptions!$B$50</f>
        <v/>
      </c>
      <c r="C23" s="20">
        <f>Assumptions!$B$50</f>
        <v/>
      </c>
      <c r="D23" s="20">
        <f>Assumptions!$B$50</f>
        <v/>
      </c>
      <c r="E23" s="20">
        <f>Assumptions!$B$50</f>
        <v/>
      </c>
      <c r="F23" s="20">
        <f>Assumptions!$B$50</f>
        <v/>
      </c>
      <c r="G23" s="20">
        <f>Assumptions!$B$50</f>
        <v/>
      </c>
      <c r="H23" s="20">
        <f>Assumptions!$B$50</f>
        <v/>
      </c>
      <c r="I23" s="20">
        <f>Assumptions!$B$50</f>
        <v/>
      </c>
      <c r="J23" s="20">
        <f>Assumptions!$B$50</f>
        <v/>
      </c>
      <c r="K23" s="20">
        <f>Assumptions!$B$50</f>
        <v/>
      </c>
      <c r="L23" s="20">
        <f>Assumptions!$B$50</f>
        <v/>
      </c>
      <c r="M23" s="20">
        <f>Assumptions!$B$50</f>
        <v/>
      </c>
      <c r="N23" s="20">
        <f>Assumptions!$B$50</f>
        <v/>
      </c>
      <c r="O23" s="20">
        <f>Assumptions!$B$50</f>
        <v/>
      </c>
      <c r="P23" s="20">
        <f>Assumptions!$B$50</f>
        <v/>
      </c>
      <c r="Q23" s="20">
        <f>Assumptions!$B$50</f>
        <v/>
      </c>
      <c r="R23" s="20">
        <f>Assumptions!$B$50</f>
        <v/>
      </c>
      <c r="S23" s="20">
        <f>Assumptions!$B$50</f>
        <v/>
      </c>
      <c r="T23" s="20">
        <f>Assumptions!$B$50</f>
        <v/>
      </c>
      <c r="U23" s="20">
        <f>Assumptions!$B$50</f>
        <v/>
      </c>
    </row>
    <row r="24">
      <c r="A24" t="inlineStr">
        <is>
          <t>LLCR Headroom (Actual − Min)</t>
        </is>
      </c>
      <c r="B24" s="22">
        <f>IF(B22="","",B22-B23)</f>
        <v/>
      </c>
      <c r="C24" s="22">
        <f>IF(C22="","",C22-C23)</f>
        <v/>
      </c>
      <c r="D24" s="22">
        <f>IF(D22="","",D22-D23)</f>
        <v/>
      </c>
      <c r="E24" s="22">
        <f>IF(E22="","",E22-E23)</f>
        <v/>
      </c>
      <c r="F24" s="22">
        <f>IF(F22="","",F22-F23)</f>
        <v/>
      </c>
      <c r="G24" s="22">
        <f>IF(G22="","",G22-G23)</f>
        <v/>
      </c>
      <c r="H24" s="22">
        <f>IF(H22="","",H22-H23)</f>
        <v/>
      </c>
      <c r="I24" s="22">
        <f>IF(I22="","",I22-I23)</f>
        <v/>
      </c>
      <c r="J24" s="22">
        <f>IF(J22="","",J22-J23)</f>
        <v/>
      </c>
      <c r="K24" s="22">
        <f>IF(K22="","",K22-K23)</f>
        <v/>
      </c>
      <c r="L24" s="22">
        <f>IF(L22="","",L22-L23)</f>
        <v/>
      </c>
      <c r="M24" s="22">
        <f>IF(M22="","",M22-M23)</f>
        <v/>
      </c>
      <c r="N24" s="22">
        <f>IF(N22="","",N22-N23)</f>
        <v/>
      </c>
      <c r="O24" s="22">
        <f>IF(O22="","",O22-O23)</f>
        <v/>
      </c>
      <c r="P24" s="22">
        <f>IF(P22="","",P22-P23)</f>
        <v/>
      </c>
      <c r="Q24" s="22">
        <f>IF(Q22="","",Q22-Q23)</f>
        <v/>
      </c>
      <c r="R24" s="22">
        <f>IF(R22="","",R22-R23)</f>
        <v/>
      </c>
      <c r="S24" s="22">
        <f>IF(S22="","",S22-S23)</f>
        <v/>
      </c>
      <c r="T24" s="22">
        <f>IF(T22="","",T22-T23)</f>
        <v/>
      </c>
      <c r="U24" s="22">
        <f>IF(U22="","",U22-U23)</f>
        <v/>
      </c>
    </row>
    <row r="25">
      <c r="A25" t="inlineStr">
        <is>
          <t>LLCR Covenant — Pass?</t>
        </is>
      </c>
      <c r="B25" s="18">
        <f>IF(B22="","",IF(B22&gt;=B23,"Pass","Fail"))</f>
        <v/>
      </c>
      <c r="C25" s="18">
        <f>IF(C22="","",IF(C22&gt;=C23,"Pass","Fail"))</f>
        <v/>
      </c>
      <c r="D25" s="18">
        <f>IF(D22="","",IF(D22&gt;=D23,"Pass","Fail"))</f>
        <v/>
      </c>
      <c r="E25" s="18">
        <f>IF(E22="","",IF(E22&gt;=E23,"Pass","Fail"))</f>
        <v/>
      </c>
      <c r="F25" s="18">
        <f>IF(F22="","",IF(F22&gt;=F23,"Pass","Fail"))</f>
        <v/>
      </c>
      <c r="G25" s="18">
        <f>IF(G22="","",IF(G22&gt;=G23,"Pass","Fail"))</f>
        <v/>
      </c>
      <c r="H25" s="18">
        <f>IF(H22="","",IF(H22&gt;=H23,"Pass","Fail"))</f>
        <v/>
      </c>
      <c r="I25" s="18">
        <f>IF(I22="","",IF(I22&gt;=I23,"Pass","Fail"))</f>
        <v/>
      </c>
      <c r="J25" s="18">
        <f>IF(J22="","",IF(J22&gt;=J23,"Pass","Fail"))</f>
        <v/>
      </c>
      <c r="K25" s="18">
        <f>IF(K22="","",IF(K22&gt;=K23,"Pass","Fail"))</f>
        <v/>
      </c>
      <c r="L25" s="18">
        <f>IF(L22="","",IF(L22&gt;=L23,"Pass","Fail"))</f>
        <v/>
      </c>
      <c r="M25" s="18">
        <f>IF(M22="","",IF(M22&gt;=M23,"Pass","Fail"))</f>
        <v/>
      </c>
      <c r="N25" s="18">
        <f>IF(N22="","",IF(N22&gt;=N23,"Pass","Fail"))</f>
        <v/>
      </c>
      <c r="O25" s="18">
        <f>IF(O22="","",IF(O22&gt;=O23,"Pass","Fail"))</f>
        <v/>
      </c>
      <c r="P25" s="18">
        <f>IF(P22="","",IF(P22&gt;=P23,"Pass","Fail"))</f>
        <v/>
      </c>
      <c r="Q25" s="18">
        <f>IF(Q22="","",IF(Q22&gt;=Q23,"Pass","Fail"))</f>
        <v/>
      </c>
      <c r="R25" s="18">
        <f>IF(R22="","",IF(R22&gt;=R23,"Pass","Fail"))</f>
        <v/>
      </c>
      <c r="S25" s="18">
        <f>IF(S22="","",IF(S22&gt;=S23,"Pass","Fail"))</f>
        <v/>
      </c>
      <c r="T25" s="18">
        <f>IF(T22="","",IF(T22&gt;=T23,"Pass","Fail"))</f>
        <v/>
      </c>
      <c r="U25" s="18">
        <f>IF(U22="","",IF(U22&gt;=U23,"Pass","Fail"))</f>
        <v/>
      </c>
    </row>
    <row r="27">
      <c r="A27" t="inlineStr">
        <is>
          <t>Minimum DSCR (Ops Period)</t>
        </is>
      </c>
      <c r="B27" s="19">
        <f>MIN(D15:U15)</f>
        <v/>
      </c>
    </row>
    <row r="28">
      <c r="A28" t="inlineStr">
        <is>
          <t>Minimum LLCR (Ops Period)</t>
        </is>
      </c>
      <c r="B28" s="19">
        <f>MIN(D22:U22)</f>
        <v/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U26"/>
  <sheetViews>
    <sheetView workbookViewId="0">
      <selection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1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1" customWidth="1" min="17" max="17"/>
    <col width="11" customWidth="1" min="18" max="18"/>
    <col width="11" customWidth="1" min="19" max="19"/>
    <col width="11" customWidth="1" min="20" max="20"/>
    <col width="11" customWidth="1" min="21" max="21"/>
  </cols>
  <sheetData>
    <row r="1">
      <c r="A1" s="1" t="inlineStr">
        <is>
          <t>Project Cash Flow Waterfall</t>
        </is>
      </c>
    </row>
    <row r="2">
      <c r="A2" t="inlineStr">
        <is>
          <t>Construction funding → Operations CFADS → Debt service → Equity distributions</t>
        </is>
      </c>
    </row>
    <row r="4">
      <c r="A4" s="14" t="inlineStr">
        <is>
          <t>USD ($M)</t>
        </is>
      </c>
      <c r="B4" s="15" t="inlineStr">
        <is>
          <t>Con Y1</t>
        </is>
      </c>
      <c r="C4" s="15" t="inlineStr">
        <is>
          <t>Con Y2</t>
        </is>
      </c>
      <c r="D4" s="15" t="inlineStr">
        <is>
          <t>Op Y1</t>
        </is>
      </c>
      <c r="E4" s="15" t="inlineStr">
        <is>
          <t>Op Y2</t>
        </is>
      </c>
      <c r="F4" s="15" t="inlineStr">
        <is>
          <t>Op Y3</t>
        </is>
      </c>
      <c r="G4" s="15" t="inlineStr">
        <is>
          <t>Op Y4</t>
        </is>
      </c>
      <c r="H4" s="15" t="inlineStr">
        <is>
          <t>Op Y5</t>
        </is>
      </c>
      <c r="I4" s="15" t="inlineStr">
        <is>
          <t>Op Y6</t>
        </is>
      </c>
      <c r="J4" s="15" t="inlineStr">
        <is>
          <t>Op Y7</t>
        </is>
      </c>
      <c r="K4" s="15" t="inlineStr">
        <is>
          <t>Op Y8</t>
        </is>
      </c>
      <c r="L4" s="15" t="inlineStr">
        <is>
          <t>Op Y9</t>
        </is>
      </c>
      <c r="M4" s="15" t="inlineStr">
        <is>
          <t>Op Y10</t>
        </is>
      </c>
      <c r="N4" s="15" t="inlineStr">
        <is>
          <t>Op Y11</t>
        </is>
      </c>
      <c r="O4" s="15" t="inlineStr">
        <is>
          <t>Op Y12</t>
        </is>
      </c>
      <c r="P4" s="15" t="inlineStr">
        <is>
          <t>Op Y13</t>
        </is>
      </c>
      <c r="Q4" s="15" t="inlineStr">
        <is>
          <t>Op Y14</t>
        </is>
      </c>
      <c r="R4" s="15" t="inlineStr">
        <is>
          <t>Op Y15</t>
        </is>
      </c>
      <c r="S4" s="15" t="inlineStr">
        <is>
          <t>Op Y16</t>
        </is>
      </c>
      <c r="T4" s="15" t="inlineStr">
        <is>
          <t>Op Y17</t>
        </is>
      </c>
      <c r="U4" s="15" t="inlineStr">
        <is>
          <t>Op Y18</t>
        </is>
      </c>
    </row>
    <row r="5">
      <c r="A5" t="inlineStr">
        <is>
          <t>Period End</t>
        </is>
      </c>
      <c r="B5" s="16" t="inlineStr">
        <is>
          <t>31-Dec-25</t>
        </is>
      </c>
      <c r="C5" s="16" t="inlineStr">
        <is>
          <t>31-Dec-26</t>
        </is>
      </c>
      <c r="D5" s="16" t="inlineStr">
        <is>
          <t>31-Dec-27</t>
        </is>
      </c>
      <c r="E5" s="16" t="inlineStr">
        <is>
          <t>31-Dec-28</t>
        </is>
      </c>
      <c r="F5" s="16" t="inlineStr">
        <is>
          <t>31-Dec-29</t>
        </is>
      </c>
      <c r="G5" s="16" t="inlineStr">
        <is>
          <t>31-Dec-30</t>
        </is>
      </c>
      <c r="H5" s="16" t="inlineStr">
        <is>
          <t>31-Dec-31</t>
        </is>
      </c>
      <c r="I5" s="16" t="inlineStr">
        <is>
          <t>31-Dec-32</t>
        </is>
      </c>
      <c r="J5" s="16" t="inlineStr">
        <is>
          <t>31-Dec-33</t>
        </is>
      </c>
      <c r="K5" s="16" t="inlineStr">
        <is>
          <t>31-Dec-34</t>
        </is>
      </c>
      <c r="L5" s="16" t="inlineStr">
        <is>
          <t>31-Dec-35</t>
        </is>
      </c>
      <c r="M5" s="16" t="inlineStr">
        <is>
          <t>31-Dec-36</t>
        </is>
      </c>
      <c r="N5" s="16" t="inlineStr">
        <is>
          <t>31-Dec-37</t>
        </is>
      </c>
      <c r="O5" s="16" t="inlineStr">
        <is>
          <t>31-Dec-38</t>
        </is>
      </c>
      <c r="P5" s="16" t="inlineStr">
        <is>
          <t>31-Dec-39</t>
        </is>
      </c>
      <c r="Q5" s="16" t="inlineStr">
        <is>
          <t>31-Dec-40</t>
        </is>
      </c>
      <c r="R5" s="16" t="inlineStr">
        <is>
          <t>31-Dec-41</t>
        </is>
      </c>
      <c r="S5" s="16" t="inlineStr">
        <is>
          <t>31-Dec-42</t>
        </is>
      </c>
      <c r="T5" s="16" t="inlineStr">
        <is>
          <t>31-Dec-43</t>
        </is>
      </c>
      <c r="U5" s="16" t="inlineStr">
        <is>
          <t>31-Dec-44</t>
        </is>
      </c>
    </row>
    <row r="6">
      <c r="A6" s="2" t="inlineStr">
        <is>
          <t>CONSTRUCTION</t>
        </is>
      </c>
      <c r="B6" s="3" t="n"/>
      <c r="C6" s="3" t="n"/>
      <c r="D6" s="3" t="n"/>
      <c r="E6" s="3" t="n"/>
      <c r="F6" s="3" t="n"/>
      <c r="G6" s="3" t="n"/>
      <c r="H6" s="3" t="n"/>
      <c r="I6" s="3" t="n"/>
      <c r="J6" s="3" t="n"/>
      <c r="K6" s="3" t="n"/>
      <c r="L6" s="3" t="n"/>
      <c r="M6" s="3" t="n"/>
      <c r="N6" s="3" t="n"/>
      <c r="O6" s="3" t="n"/>
      <c r="P6" s="3" t="n"/>
      <c r="Q6" s="3" t="n"/>
      <c r="R6" s="3" t="n"/>
      <c r="S6" s="3" t="n"/>
      <c r="T6" s="3" t="n"/>
      <c r="U6" s="3" t="n"/>
    </row>
    <row r="7">
      <c r="A7" t="inlineStr">
        <is>
          <t>Construction Spend (incl. IDC)</t>
        </is>
      </c>
      <c r="B7" s="8">
        <f>-('Construction Phase'!B11+'Construction Phase'!B20)</f>
        <v/>
      </c>
      <c r="C7" s="8">
        <f>-('Construction Phase'!C11+'Construction Phase'!C20)</f>
        <v/>
      </c>
      <c r="D7" s="8" t="n">
        <v>0</v>
      </c>
      <c r="E7" s="8" t="n">
        <v>0</v>
      </c>
      <c r="F7" s="8" t="n">
        <v>0</v>
      </c>
      <c r="G7" s="8" t="n">
        <v>0</v>
      </c>
      <c r="H7" s="8" t="n">
        <v>0</v>
      </c>
      <c r="I7" s="8" t="n">
        <v>0</v>
      </c>
      <c r="J7" s="8" t="n">
        <v>0</v>
      </c>
      <c r="K7" s="8" t="n">
        <v>0</v>
      </c>
      <c r="L7" s="8" t="n">
        <v>0</v>
      </c>
      <c r="M7" s="8" t="n">
        <v>0</v>
      </c>
      <c r="N7" s="8" t="n">
        <v>0</v>
      </c>
      <c r="O7" s="8" t="n">
        <v>0</v>
      </c>
      <c r="P7" s="8" t="n">
        <v>0</v>
      </c>
      <c r="Q7" s="8" t="n">
        <v>0</v>
      </c>
      <c r="R7" s="8" t="n">
        <v>0</v>
      </c>
      <c r="S7" s="8" t="n">
        <v>0</v>
      </c>
      <c r="T7" s="8" t="n">
        <v>0</v>
      </c>
      <c r="U7" s="8" t="n">
        <v>0</v>
      </c>
    </row>
    <row r="8">
      <c r="A8" t="inlineStr">
        <is>
          <t>Senior Debt Drawdown</t>
        </is>
      </c>
      <c r="B8" s="8">
        <f>'Construction Phase'!B14</f>
        <v/>
      </c>
      <c r="C8" s="8">
        <f>'Construction Phase'!C14</f>
        <v/>
      </c>
      <c r="D8" s="8">
        <f>'Construction Phase'!D14</f>
        <v/>
      </c>
      <c r="E8" s="8">
        <f>'Construction Phase'!E14</f>
        <v/>
      </c>
      <c r="F8" s="8">
        <f>'Construction Phase'!F14</f>
        <v/>
      </c>
      <c r="G8" s="8">
        <f>'Construction Phase'!G14</f>
        <v/>
      </c>
      <c r="H8" s="8">
        <f>'Construction Phase'!H14</f>
        <v/>
      </c>
      <c r="I8" s="8">
        <f>'Construction Phase'!I14</f>
        <v/>
      </c>
      <c r="J8" s="8">
        <f>'Construction Phase'!J14</f>
        <v/>
      </c>
      <c r="K8" s="8">
        <f>'Construction Phase'!K14</f>
        <v/>
      </c>
      <c r="L8" s="8">
        <f>'Construction Phase'!L14</f>
        <v/>
      </c>
      <c r="M8" s="8">
        <f>'Construction Phase'!M14</f>
        <v/>
      </c>
      <c r="N8" s="8">
        <f>'Construction Phase'!N14</f>
        <v/>
      </c>
      <c r="O8" s="8">
        <f>'Construction Phase'!O14</f>
        <v/>
      </c>
      <c r="P8" s="8">
        <f>'Construction Phase'!P14</f>
        <v/>
      </c>
      <c r="Q8" s="8">
        <f>'Construction Phase'!Q14</f>
        <v/>
      </c>
      <c r="R8" s="8">
        <f>'Construction Phase'!R14</f>
        <v/>
      </c>
      <c r="S8" s="8">
        <f>'Construction Phase'!S14</f>
        <v/>
      </c>
      <c r="T8" s="8">
        <f>'Construction Phase'!T14</f>
        <v/>
      </c>
      <c r="U8" s="8">
        <f>'Construction Phase'!U14</f>
        <v/>
      </c>
    </row>
    <row r="9">
      <c r="A9" t="inlineStr">
        <is>
          <t>Sponsor Equity Injection</t>
        </is>
      </c>
      <c r="B9" s="8">
        <f>'Construction Phase'!B15</f>
        <v/>
      </c>
      <c r="C9" s="8">
        <f>'Construction Phase'!C15</f>
        <v/>
      </c>
      <c r="D9" s="8">
        <f>'Construction Phase'!D15</f>
        <v/>
      </c>
      <c r="E9" s="8">
        <f>'Construction Phase'!E15</f>
        <v/>
      </c>
      <c r="F9" s="8">
        <f>'Construction Phase'!F15</f>
        <v/>
      </c>
      <c r="G9" s="8">
        <f>'Construction Phase'!G15</f>
        <v/>
      </c>
      <c r="H9" s="8">
        <f>'Construction Phase'!H15</f>
        <v/>
      </c>
      <c r="I9" s="8">
        <f>'Construction Phase'!I15</f>
        <v/>
      </c>
      <c r="J9" s="8">
        <f>'Construction Phase'!J15</f>
        <v/>
      </c>
      <c r="K9" s="8">
        <f>'Construction Phase'!K15</f>
        <v/>
      </c>
      <c r="L9" s="8">
        <f>'Construction Phase'!L15</f>
        <v/>
      </c>
      <c r="M9" s="8">
        <f>'Construction Phase'!M15</f>
        <v/>
      </c>
      <c r="N9" s="8">
        <f>'Construction Phase'!N15</f>
        <v/>
      </c>
      <c r="O9" s="8">
        <f>'Construction Phase'!O15</f>
        <v/>
      </c>
      <c r="P9" s="8">
        <f>'Construction Phase'!P15</f>
        <v/>
      </c>
      <c r="Q9" s="8">
        <f>'Construction Phase'!Q15</f>
        <v/>
      </c>
      <c r="R9" s="8">
        <f>'Construction Phase'!R15</f>
        <v/>
      </c>
      <c r="S9" s="8">
        <f>'Construction Phase'!S15</f>
        <v/>
      </c>
      <c r="T9" s="8">
        <f>'Construction Phase'!T15</f>
        <v/>
      </c>
      <c r="U9" s="8">
        <f>'Construction Phase'!U15</f>
        <v/>
      </c>
    </row>
    <row r="11">
      <c r="A11" s="2" t="inlineStr">
        <is>
          <t>OPERATIONS</t>
        </is>
      </c>
      <c r="B11" s="3" t="n"/>
      <c r="C11" s="3" t="n"/>
      <c r="D11" s="3" t="n"/>
      <c r="E11" s="3" t="n"/>
      <c r="F11" s="3" t="n"/>
      <c r="G11" s="3" t="n"/>
      <c r="H11" s="3" t="n"/>
      <c r="I11" s="3" t="n"/>
      <c r="J11" s="3" t="n"/>
      <c r="K11" s="3" t="n"/>
      <c r="L11" s="3" t="n"/>
      <c r="M11" s="3" t="n"/>
      <c r="N11" s="3" t="n"/>
      <c r="O11" s="3" t="n"/>
      <c r="P11" s="3" t="n"/>
      <c r="Q11" s="3" t="n"/>
      <c r="R11" s="3" t="n"/>
      <c r="S11" s="3" t="n"/>
      <c r="T11" s="3" t="n"/>
      <c r="U11" s="3" t="n"/>
    </row>
    <row r="12">
      <c r="A12" t="inlineStr">
        <is>
          <t>CFADS</t>
        </is>
      </c>
      <c r="B12" s="8">
        <f>'Operations'!B16</f>
        <v/>
      </c>
      <c r="C12" s="8">
        <f>'Operations'!C16</f>
        <v/>
      </c>
      <c r="D12" s="8">
        <f>'Operations'!D16</f>
        <v/>
      </c>
      <c r="E12" s="8">
        <f>'Operations'!E16</f>
        <v/>
      </c>
      <c r="F12" s="8">
        <f>'Operations'!F16</f>
        <v/>
      </c>
      <c r="G12" s="8">
        <f>'Operations'!G16</f>
        <v/>
      </c>
      <c r="H12" s="8">
        <f>'Operations'!H16</f>
        <v/>
      </c>
      <c r="I12" s="8">
        <f>'Operations'!I16</f>
        <v/>
      </c>
      <c r="J12" s="8">
        <f>'Operations'!J16</f>
        <v/>
      </c>
      <c r="K12" s="8">
        <f>'Operations'!K16</f>
        <v/>
      </c>
      <c r="L12" s="8">
        <f>'Operations'!L16</f>
        <v/>
      </c>
      <c r="M12" s="8">
        <f>'Operations'!M16</f>
        <v/>
      </c>
      <c r="N12" s="8">
        <f>'Operations'!N16</f>
        <v/>
      </c>
      <c r="O12" s="8">
        <f>'Operations'!O16</f>
        <v/>
      </c>
      <c r="P12" s="8">
        <f>'Operations'!P16</f>
        <v/>
      </c>
      <c r="Q12" s="8">
        <f>'Operations'!Q16</f>
        <v/>
      </c>
      <c r="R12" s="8">
        <f>'Operations'!R16</f>
        <v/>
      </c>
      <c r="S12" s="8">
        <f>'Operations'!S16</f>
        <v/>
      </c>
      <c r="T12" s="8">
        <f>'Operations'!T16</f>
        <v/>
      </c>
      <c r="U12" s="8">
        <f>'Operations'!U16</f>
        <v/>
      </c>
    </row>
    <row r="13">
      <c r="A13" t="inlineStr">
        <is>
          <t>Senior Debt Service (Sculpted)</t>
        </is>
      </c>
      <c r="B13" s="8">
        <f>-'DSCR &amp; Covenants'!B9</f>
        <v/>
      </c>
      <c r="C13" s="8">
        <f>-'DSCR &amp; Covenants'!C9</f>
        <v/>
      </c>
      <c r="D13" s="8">
        <f>-'DSCR &amp; Covenants'!D9</f>
        <v/>
      </c>
      <c r="E13" s="8">
        <f>-'DSCR &amp; Covenants'!E9</f>
        <v/>
      </c>
      <c r="F13" s="8">
        <f>-'DSCR &amp; Covenants'!F9</f>
        <v/>
      </c>
      <c r="G13" s="8">
        <f>-'DSCR &amp; Covenants'!G9</f>
        <v/>
      </c>
      <c r="H13" s="8">
        <f>-'DSCR &amp; Covenants'!H9</f>
        <v/>
      </c>
      <c r="I13" s="8">
        <f>-'DSCR &amp; Covenants'!I9</f>
        <v/>
      </c>
      <c r="J13" s="8">
        <f>-'DSCR &amp; Covenants'!J9</f>
        <v/>
      </c>
      <c r="K13" s="8">
        <f>-'DSCR &amp; Covenants'!K9</f>
        <v/>
      </c>
      <c r="L13" s="8">
        <f>-'DSCR &amp; Covenants'!L9</f>
        <v/>
      </c>
      <c r="M13" s="8">
        <f>-'DSCR &amp; Covenants'!M9</f>
        <v/>
      </c>
      <c r="N13" s="8">
        <f>-'DSCR &amp; Covenants'!N9</f>
        <v/>
      </c>
      <c r="O13" s="8">
        <f>-'DSCR &amp; Covenants'!O9</f>
        <v/>
      </c>
      <c r="P13" s="8">
        <f>-'DSCR &amp; Covenants'!P9</f>
        <v/>
      </c>
      <c r="Q13" s="8">
        <f>-'DSCR &amp; Covenants'!Q9</f>
        <v/>
      </c>
      <c r="R13" s="8">
        <f>-'DSCR &amp; Covenants'!R9</f>
        <v/>
      </c>
      <c r="S13" s="8">
        <f>-'DSCR &amp; Covenants'!S9</f>
        <v/>
      </c>
      <c r="T13" s="8">
        <f>-'DSCR &amp; Covenants'!T9</f>
        <v/>
      </c>
      <c r="U13" s="8">
        <f>-'DSCR &amp; Covenants'!U9</f>
        <v/>
      </c>
    </row>
    <row r="14">
      <c r="A14" t="inlineStr">
        <is>
          <t>Net Cash After Debt Service</t>
        </is>
      </c>
      <c r="B14" s="9">
        <f>B12+B13</f>
        <v/>
      </c>
      <c r="C14" s="9">
        <f>C12+C13</f>
        <v/>
      </c>
      <c r="D14" s="9">
        <f>D12+D13</f>
        <v/>
      </c>
      <c r="E14" s="9">
        <f>E12+E13</f>
        <v/>
      </c>
      <c r="F14" s="9">
        <f>F12+F13</f>
        <v/>
      </c>
      <c r="G14" s="9">
        <f>G12+G13</f>
        <v/>
      </c>
      <c r="H14" s="9">
        <f>H12+H13</f>
        <v/>
      </c>
      <c r="I14" s="9">
        <f>I12+I13</f>
        <v/>
      </c>
      <c r="J14" s="9">
        <f>J12+J13</f>
        <v/>
      </c>
      <c r="K14" s="9">
        <f>K12+K13</f>
        <v/>
      </c>
      <c r="L14" s="9">
        <f>L12+L13</f>
        <v/>
      </c>
      <c r="M14" s="9">
        <f>M12+M13</f>
        <v/>
      </c>
      <c r="N14" s="9">
        <f>N12+N13</f>
        <v/>
      </c>
      <c r="O14" s="9">
        <f>O12+O13</f>
        <v/>
      </c>
      <c r="P14" s="9">
        <f>P12+P13</f>
        <v/>
      </c>
      <c r="Q14" s="9">
        <f>Q12+Q13</f>
        <v/>
      </c>
      <c r="R14" s="9">
        <f>R12+R13</f>
        <v/>
      </c>
      <c r="S14" s="9">
        <f>S12+S13</f>
        <v/>
      </c>
      <c r="T14" s="9">
        <f>T12+T13</f>
        <v/>
      </c>
      <c r="U14" s="9">
        <f>U12+U13</f>
        <v/>
      </c>
    </row>
    <row r="15">
      <c r="A15" t="inlineStr">
        <is>
          <t>Distributable to Sponsor (after DS)</t>
        </is>
      </c>
      <c r="B15" s="8">
        <f>MAX(0,B14)</f>
        <v/>
      </c>
      <c r="C15" s="8">
        <f>MAX(0,C14)</f>
        <v/>
      </c>
      <c r="D15" s="8">
        <f>MAX(0,D14)</f>
        <v/>
      </c>
      <c r="E15" s="8">
        <f>MAX(0,E14)</f>
        <v/>
      </c>
      <c r="F15" s="8">
        <f>MAX(0,F14)</f>
        <v/>
      </c>
      <c r="G15" s="8">
        <f>MAX(0,G14)</f>
        <v/>
      </c>
      <c r="H15" s="8">
        <f>MAX(0,H14)</f>
        <v/>
      </c>
      <c r="I15" s="8">
        <f>MAX(0,I14)</f>
        <v/>
      </c>
      <c r="J15" s="8">
        <f>MAX(0,J14)</f>
        <v/>
      </c>
      <c r="K15" s="8">
        <f>MAX(0,K14)</f>
        <v/>
      </c>
      <c r="L15" s="8">
        <f>MAX(0,L14)</f>
        <v/>
      </c>
      <c r="M15" s="8">
        <f>MAX(0,M14)</f>
        <v/>
      </c>
      <c r="N15" s="8">
        <f>MAX(0,N14)</f>
        <v/>
      </c>
      <c r="O15" s="8">
        <f>MAX(0,O14)</f>
        <v/>
      </c>
      <c r="P15" s="8">
        <f>MAX(0,P14)</f>
        <v/>
      </c>
      <c r="Q15" s="8">
        <f>MAX(0,Q14)</f>
        <v/>
      </c>
      <c r="R15" s="8">
        <f>MAX(0,R14)</f>
        <v/>
      </c>
      <c r="S15" s="8">
        <f>MAX(0,S14)</f>
        <v/>
      </c>
      <c r="T15" s="8">
        <f>MAX(0,T14)</f>
        <v/>
      </c>
      <c r="U15" s="10">
        <f>MAX(0,U14)</f>
        <v/>
      </c>
    </row>
    <row r="17">
      <c r="A17" s="2" t="inlineStr">
        <is>
          <t>PROJECT NET CASH FLOW</t>
        </is>
      </c>
      <c r="B17" s="3" t="n"/>
      <c r="C17" s="3" t="n"/>
      <c r="D17" s="3" t="n"/>
      <c r="E17" s="3" t="n"/>
      <c r="F17" s="3" t="n"/>
      <c r="G17" s="3" t="n"/>
      <c r="H17" s="3" t="n"/>
      <c r="I17" s="3" t="n"/>
      <c r="J17" s="3" t="n"/>
      <c r="K17" s="3" t="n"/>
      <c r="L17" s="3" t="n"/>
      <c r="M17" s="3" t="n"/>
      <c r="N17" s="3" t="n"/>
      <c r="O17" s="3" t="n"/>
      <c r="P17" s="3" t="n"/>
      <c r="Q17" s="3" t="n"/>
      <c r="R17" s="3" t="n"/>
      <c r="S17" s="3" t="n"/>
      <c r="T17" s="3" t="n"/>
      <c r="U17" s="3" t="n"/>
    </row>
    <row r="18">
      <c r="A18" t="inlineStr">
        <is>
          <t>Project Net Cash Flow (SPV)</t>
        </is>
      </c>
      <c r="B18" s="8">
        <f>B7+B8+B9+B12+B13</f>
        <v/>
      </c>
      <c r="C18" s="8">
        <f>C7+C8+C9+C12+C13</f>
        <v/>
      </c>
      <c r="D18" s="8">
        <f>D7+D8+D9+D12+D13</f>
        <v/>
      </c>
      <c r="E18" s="8">
        <f>E7+E8+E9+E12+E13</f>
        <v/>
      </c>
      <c r="F18" s="8">
        <f>F7+F8+F9+F12+F13</f>
        <v/>
      </c>
      <c r="G18" s="8">
        <f>G7+G8+G9+G12+G13</f>
        <v/>
      </c>
      <c r="H18" s="8">
        <f>H7+H8+H9+H12+H13</f>
        <v/>
      </c>
      <c r="I18" s="8">
        <f>I7+I8+I9+I12+I13</f>
        <v/>
      </c>
      <c r="J18" s="8">
        <f>J7+J8+J9+J12+J13</f>
        <v/>
      </c>
      <c r="K18" s="8">
        <f>K7+K8+K9+K12+K13</f>
        <v/>
      </c>
      <c r="L18" s="8">
        <f>L7+L8+L9+L12+L13</f>
        <v/>
      </c>
      <c r="M18" s="8">
        <f>M7+M8+M9+M12+M13</f>
        <v/>
      </c>
      <c r="N18" s="8">
        <f>N7+N8+N9+N12+N13</f>
        <v/>
      </c>
      <c r="O18" s="8">
        <f>O7+O8+O9+O12+O13</f>
        <v/>
      </c>
      <c r="P18" s="8">
        <f>P7+P8+P9+P12+P13</f>
        <v/>
      </c>
      <c r="Q18" s="8">
        <f>Q7+Q8+Q9+Q12+Q13</f>
        <v/>
      </c>
      <c r="R18" s="8">
        <f>R7+R8+R9+R12+R13</f>
        <v/>
      </c>
      <c r="S18" s="8">
        <f>S7+S8+S9+S12+S13</f>
        <v/>
      </c>
      <c r="T18" s="8">
        <f>T7+T8+T9+T12+T13</f>
        <v/>
      </c>
      <c r="U18" s="8">
        <f>U7+U8+U9+U12+U13</f>
        <v/>
      </c>
    </row>
    <row r="19">
      <c r="A19" t="inlineStr">
        <is>
          <t>Cumulative Project CF</t>
        </is>
      </c>
      <c r="B19" s="8">
        <f>B18</f>
        <v/>
      </c>
      <c r="C19" s="8">
        <f>B19+C18</f>
        <v/>
      </c>
      <c r="D19" s="8">
        <f>C19+D18</f>
        <v/>
      </c>
      <c r="E19" s="8">
        <f>D19+E18</f>
        <v/>
      </c>
      <c r="F19" s="8">
        <f>E19+F18</f>
        <v/>
      </c>
      <c r="G19" s="8">
        <f>F19+G18</f>
        <v/>
      </c>
      <c r="H19" s="8">
        <f>G19+H18</f>
        <v/>
      </c>
      <c r="I19" s="8">
        <f>H19+I18</f>
        <v/>
      </c>
      <c r="J19" s="8">
        <f>I19+J18</f>
        <v/>
      </c>
      <c r="K19" s="8">
        <f>J19+K18</f>
        <v/>
      </c>
      <c r="L19" s="8">
        <f>K19+L18</f>
        <v/>
      </c>
      <c r="M19" s="8">
        <f>L19+M18</f>
        <v/>
      </c>
      <c r="N19" s="8">
        <f>M19+N18</f>
        <v/>
      </c>
      <c r="O19" s="8">
        <f>N19+O18</f>
        <v/>
      </c>
      <c r="P19" s="8">
        <f>O19+P18</f>
        <v/>
      </c>
      <c r="Q19" s="8">
        <f>P19+Q18</f>
        <v/>
      </c>
      <c r="R19" s="8">
        <f>Q19+R18</f>
        <v/>
      </c>
      <c r="S19" s="8">
        <f>R19+S18</f>
        <v/>
      </c>
      <c r="T19" s="8">
        <f>S19+T18</f>
        <v/>
      </c>
      <c r="U19" s="8">
        <f>T19+U18</f>
        <v/>
      </c>
    </row>
    <row r="21">
      <c r="A21" s="2" t="inlineStr">
        <is>
          <t>SPONSOR VIEW (EQUITY)</t>
        </is>
      </c>
      <c r="B21" s="3" t="n"/>
      <c r="C21" s="3" t="n"/>
    </row>
    <row r="22">
      <c r="A22" t="inlineStr">
        <is>
          <t>Total Equity Invested</t>
        </is>
      </c>
      <c r="B22" s="9">
        <f>'Construction Phase'!B23</f>
        <v/>
      </c>
    </row>
    <row r="23">
      <c r="A23" t="inlineStr">
        <is>
          <t>Total Equity Distributions (undiscounted)</t>
        </is>
      </c>
      <c r="B23" s="9">
        <f>D15+E15+F15+G15+H15+I15+J15+K15+L15+M15+N15+O15+P15+Q15+R15+S15+T15+U15</f>
        <v/>
      </c>
    </row>
    <row r="24">
      <c r="A24" t="inlineStr">
        <is>
          <t>Equity Multiple (Distributions ÷ Invested)</t>
        </is>
      </c>
      <c r="B24" s="19">
        <f>B23/B22</f>
        <v/>
      </c>
    </row>
    <row r="25">
      <c r="A25" t="inlineStr">
        <is>
          <t>Average DSCR (Ops)</t>
        </is>
      </c>
      <c r="B25" s="20">
        <f>AVERAGE('DSCR &amp; Covenants'!D15,'DSCR &amp; Covenants'!E15,'DSCR &amp; Covenants'!F15,'DSCR &amp; Covenants'!G15,'DSCR &amp; Covenants'!H15,'DSCR &amp; Covenants'!I15,'DSCR &amp; Covenants'!J15,'DSCR &amp; Covenants'!K15,'DSCR &amp; Covenants'!L15,'DSCR &amp; Covenants'!M15,'DSCR &amp; Covenants'!N15,'DSCR &amp; Covenants'!O15,'DSCR &amp; Covenants'!P15,'DSCR &amp; Covenants'!Q15,'DSCR &amp; Covenants'!R15,'DSCR &amp; Covenants'!S15,'DSCR &amp; Covenants'!T15,'DSCR &amp; Covenants'!U15)</f>
        <v/>
      </c>
    </row>
    <row r="26">
      <c r="A26" t="inlineStr">
        <is>
          <t>Senior Debt Sized</t>
        </is>
      </c>
      <c r="B26" s="9">
        <f>'Debt Sizing'!B20</f>
        <v/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cols>
    <col width="34" customWidth="1" min="1" max="1"/>
    <col width="16" customWidth="1" min="2" max="2"/>
  </cols>
  <sheetData>
    <row r="1">
      <c r="A1" s="1" t="inlineStr">
        <is>
          <t>Project Finance Dashboard — Sava LogPark Phase 2 SPV</t>
        </is>
      </c>
    </row>
    <row r="2">
      <c r="A2" t="inlineStr">
        <is>
          <t>Sava Industrial Co.Ltd (sponsor) | Senior debt PF structure | USD ($M)</t>
        </is>
      </c>
    </row>
    <row r="4">
      <c r="A4" s="2" t="inlineStr">
        <is>
          <t>PROJECT SNAPSHOT</t>
        </is>
      </c>
      <c r="B4" s="3" t="n"/>
    </row>
    <row r="5">
      <c r="A5" t="inlineStr">
        <is>
          <t>Total Project Cost (TPC)</t>
        </is>
      </c>
      <c r="B5" s="10">
        <f>Assumptions!B20</f>
        <v/>
      </c>
    </row>
    <row r="6">
      <c r="A6" t="inlineStr">
        <is>
          <t>Senior Debt Sized</t>
        </is>
      </c>
      <c r="B6" s="10">
        <f>'Debt Sizing'!B20</f>
        <v/>
      </c>
    </row>
    <row r="7">
      <c r="A7" t="inlineStr">
        <is>
          <t>Sponsor Equity Required</t>
        </is>
      </c>
      <c r="B7" s="10">
        <f>'Debt Sizing'!B22</f>
        <v/>
      </c>
    </row>
    <row r="8">
      <c r="A8" t="inlineStr">
        <is>
          <t>Debt / TPC (Gearing)</t>
        </is>
      </c>
      <c r="B8" s="23">
        <f>'Debt Sizing'!B20/Assumptions!B20</f>
        <v/>
      </c>
    </row>
    <row r="9">
      <c r="A9" t="inlineStr">
        <is>
          <t>Binding Sizing Constraint</t>
        </is>
      </c>
      <c r="B9" s="24">
        <f>'Debt Sizing'!B21</f>
        <v/>
      </c>
    </row>
    <row r="10">
      <c r="A10" t="inlineStr">
        <is>
          <t>Implied LLCR at Close</t>
        </is>
      </c>
      <c r="B10" s="19">
        <f>'Debt Sizing'!B27</f>
        <v/>
      </c>
    </row>
    <row r="11">
      <c r="A11" t="inlineStr">
        <is>
          <t>Debt at COD (Construction)</t>
        </is>
      </c>
      <c r="B11" s="10">
        <f>'Construction Phase'!B22</f>
        <v/>
      </c>
    </row>
    <row r="12">
      <c r="A12" t="inlineStr">
        <is>
          <t>Min DSCR (Ops)</t>
        </is>
      </c>
      <c r="B12" s="19">
        <f>'DSCR &amp; Covenants'!B27</f>
        <v/>
      </c>
    </row>
    <row r="13">
      <c r="A13" t="inlineStr">
        <is>
          <t>Min LLCR (Ops)</t>
        </is>
      </c>
      <c r="B13" s="19">
        <f>'DSCR &amp; Covenants'!B28</f>
        <v/>
      </c>
    </row>
    <row r="14">
      <c r="A14" t="inlineStr">
        <is>
          <t>Equity Multiple</t>
        </is>
      </c>
      <c r="B14" s="19">
        <f>'Cash Flow'!B24</f>
        <v/>
      </c>
    </row>
    <row r="15">
      <c r="A15" t="inlineStr">
        <is>
          <t>Stabilized CFADS (Op Y3)</t>
        </is>
      </c>
      <c r="B15" s="10">
        <f>'Operations'!F16</f>
        <v/>
      </c>
    </row>
    <row r="17">
      <c r="A17" s="2" t="inlineStr">
        <is>
          <t>CFADS &amp; DSCR FORECAST (OPS)</t>
        </is>
      </c>
      <c r="B17" s="3" t="n"/>
      <c r="C17" s="3" t="n"/>
      <c r="D17" s="3" t="n"/>
      <c r="E17" s="3" t="n"/>
      <c r="F17" s="3" t="n"/>
      <c r="G17" s="3" t="n"/>
      <c r="H17" s="3" t="n"/>
    </row>
    <row r="18">
      <c r="A18" s="25" t="inlineStr"/>
      <c r="B18" s="25" t="inlineStr">
        <is>
          <t>D</t>
        </is>
      </c>
      <c r="C18" s="25" t="inlineStr">
        <is>
          <t>E</t>
        </is>
      </c>
      <c r="D18" s="25" t="inlineStr">
        <is>
          <t>F</t>
        </is>
      </c>
      <c r="E18" s="25" t="inlineStr">
        <is>
          <t>G</t>
        </is>
      </c>
      <c r="F18" s="25" t="inlineStr">
        <is>
          <t>H</t>
        </is>
      </c>
      <c r="G18" s="25" t="inlineStr">
        <is>
          <t>I</t>
        </is>
      </c>
      <c r="H18" s="25" t="inlineStr">
        <is>
          <t>J</t>
        </is>
      </c>
      <c r="I18" s="25" t="inlineStr">
        <is>
          <t>K</t>
        </is>
      </c>
    </row>
    <row r="19">
      <c r="A19" t="inlineStr">
        <is>
          <t>CFADS</t>
        </is>
      </c>
      <c r="B19" s="8">
        <f>'Operations'!D16</f>
        <v/>
      </c>
      <c r="C19" s="8">
        <f>'Operations'!E16</f>
        <v/>
      </c>
      <c r="D19" s="8">
        <f>'Operations'!F16</f>
        <v/>
      </c>
      <c r="E19" s="8">
        <f>'Operations'!G16</f>
        <v/>
      </c>
      <c r="F19" s="8">
        <f>'Operations'!H16</f>
        <v/>
      </c>
      <c r="G19" s="8">
        <f>'Operations'!I16</f>
        <v/>
      </c>
      <c r="H19" s="8">
        <f>'Operations'!J16</f>
        <v/>
      </c>
      <c r="I19" s="8">
        <f>'Operations'!K16</f>
        <v/>
      </c>
    </row>
    <row r="20">
      <c r="A20" t="inlineStr">
        <is>
          <t>DSCR</t>
        </is>
      </c>
      <c r="B20" s="20">
        <f>'DSCR &amp; Covenants'!D15</f>
        <v/>
      </c>
      <c r="C20" s="20">
        <f>'DSCR &amp; Covenants'!E15</f>
        <v/>
      </c>
      <c r="D20" s="20">
        <f>'DSCR &amp; Covenants'!F15</f>
        <v/>
      </c>
      <c r="E20" s="20">
        <f>'DSCR &amp; Covenants'!G15</f>
        <v/>
      </c>
      <c r="F20" s="20">
        <f>'DSCR &amp; Covenants'!H15</f>
        <v/>
      </c>
      <c r="G20" s="20">
        <f>'DSCR &amp; Covenants'!I15</f>
        <v/>
      </c>
      <c r="H20" s="20">
        <f>'DSCR &amp; Covenants'!J15</f>
        <v/>
      </c>
      <c r="I20" s="20">
        <f>'DSCR &amp; Covenants'!K15</f>
        <v/>
      </c>
    </row>
    <row r="21">
      <c r="A21" t="inlineStr">
        <is>
          <t>Min DSCR Covenant</t>
        </is>
      </c>
      <c r="B21" s="20">
        <f>Assumptions!$B$49</f>
        <v/>
      </c>
      <c r="C21" s="20">
        <f>Assumptions!$B$49</f>
        <v/>
      </c>
      <c r="D21" s="20">
        <f>Assumptions!$B$49</f>
        <v/>
      </c>
      <c r="E21" s="20">
        <f>Assumptions!$B$49</f>
        <v/>
      </c>
      <c r="F21" s="20">
        <f>Assumptions!$B$49</f>
        <v/>
      </c>
      <c r="G21" s="20">
        <f>Assumptions!$B$49</f>
        <v/>
      </c>
      <c r="H21" s="20">
        <f>Assumptions!$B$49</f>
        <v/>
      </c>
      <c r="I21" s="20">
        <f>Assumptions!$B$49</f>
        <v/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2026-09-17T14:01:07Z</dcterms:created>
  <dcterms:modified xsi:type="dcterms:W3CDTF">2026-09-17T14:01:08Z</dcterms:modified>
</cp:coreProperties>
</file>