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Sources &amp; Uses" sheetId="2" state="visible" r:id="rId2"/>
    <sheet name="Operating Model" sheetId="3" state="visible" r:id="rId3"/>
    <sheet name="Debt Schedule" sheetId="4" state="visible" r:id="rId4"/>
    <sheet name="Cash Flow" sheetId="5" state="visible" r:id="rId5"/>
    <sheet name="Returns Analysis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0x"/>
    <numFmt numFmtId="167" formatCode="DD-MMM-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color rgb="0000000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1F4E79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" fontId="3" fillId="0" borderId="0" pivotButton="0" quotePrefix="0" xfId="0"/>
    <xf numFmtId="164" fontId="3" fillId="0" borderId="0" pivotButton="0" quotePrefix="0" xfId="0"/>
    <xf numFmtId="165" fontId="4" fillId="0" borderId="0" pivotButton="0" quotePrefix="0" xfId="0"/>
    <xf numFmtId="166" fontId="3" fillId="0" borderId="0" pivotButton="0" quotePrefix="0" xfId="0"/>
    <xf numFmtId="164" fontId="2" fillId="3" borderId="0" pivotButton="0" quotePrefix="0" xfId="0"/>
    <xf numFmtId="164" fontId="4" fillId="0" borderId="0" pivotButton="0" quotePrefix="0" xfId="0"/>
    <xf numFmtId="165" fontId="3" fillId="0" borderId="0" pivotButton="0" quotePrefix="0" xfId="0"/>
    <xf numFmtId="166" fontId="2" fillId="0" borderId="0" pivotButton="0" quotePrefix="0" xfId="0"/>
    <xf numFmtId="0" fontId="5" fillId="4" borderId="0" applyAlignment="1" pivotButton="0" quotePrefix="0" xfId="0">
      <alignment horizontal="center" wrapText="1"/>
    </xf>
    <xf numFmtId="164" fontId="2" fillId="5" borderId="0" pivotButton="0" quotePrefix="0" xfId="0"/>
    <xf numFmtId="164" fontId="2" fillId="0" borderId="0" pivotButton="0" quotePrefix="0" xfId="0"/>
    <xf numFmtId="0" fontId="2" fillId="0" borderId="0" pivotButton="0" quotePrefix="0" xfId="0"/>
    <xf numFmtId="0" fontId="5" fillId="4" borderId="0" applyAlignment="1" pivotButton="0" quotePrefix="0" xfId="0">
      <alignment horizontal="center"/>
    </xf>
    <xf numFmtId="167" fontId="3" fillId="0" borderId="0" applyAlignment="1" pivotButton="0" quotePrefix="0" xfId="0">
      <alignment horizontal="center"/>
    </xf>
    <xf numFmtId="166" fontId="4" fillId="0" borderId="0" pivotButton="0" quotePrefix="0" xfId="0"/>
    <xf numFmtId="167" fontId="3" fillId="0" borderId="0" pivotButton="0" quotePrefix="0" xfId="0"/>
    <xf numFmtId="165" fontId="2" fillId="3" borderId="0" pivotButton="0" quotePrefix="0" xfId="0"/>
    <xf numFmtId="166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Forecast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'Dashboard'!$B$17:$F$17</f>
            </numRef>
          </cat>
          <val>
            <numRef>
              <f>'Dashboard'!$B$18:$F$18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Debt Paydown ($M)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'Dashboard'!$B$18:$F$18</f>
            </numRef>
          </cat>
          <val>
            <numRef>
              <f>'Dashboard'!$B$19:$F$19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20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36</row>
      <rowOff>0</rowOff>
    </from>
    <ext cx="57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Sava Industrial Co.Ltd — LBO Model Assumptions</t>
        </is>
      </c>
    </row>
    <row r="2">
      <c r="A2" t="inlineStr">
        <is>
          <t>PE buyout candidate | Aurora Capital Partners (sponsor) | LTM FY2023A aligned with Demo #1 | USD ($M)</t>
        </is>
      </c>
    </row>
    <row r="4">
      <c r="A4" s="2" t="inlineStr">
        <is>
          <t>DEAL OVERVIEW</t>
        </is>
      </c>
      <c r="B4" s="3" t="n"/>
      <c r="C4" s="3" t="n"/>
    </row>
    <row r="5">
      <c r="A5" t="inlineStr">
        <is>
          <t>Target Company</t>
        </is>
      </c>
      <c r="B5" s="4" t="inlineStr">
        <is>
          <t>Sava Industrial Co.Ltd</t>
        </is>
      </c>
    </row>
    <row r="6">
      <c r="A6" t="inlineStr">
        <is>
          <t>Sponsor</t>
        </is>
      </c>
      <c r="B6" s="4" t="inlineStr">
        <is>
          <t>Aurora Capital Partners</t>
        </is>
      </c>
    </row>
    <row r="7">
      <c r="A7" t="inlineStr">
        <is>
          <t>Close Date</t>
        </is>
      </c>
      <c r="B7" s="4" t="inlineStr">
        <is>
          <t>01-Jan-2025</t>
        </is>
      </c>
    </row>
    <row r="8">
      <c r="A8" s="4" t="inlineStr">
        <is>
          <t>Hold Period (Years)</t>
        </is>
      </c>
      <c r="B8" s="5" t="n">
        <v>5</v>
      </c>
    </row>
    <row r="9">
      <c r="A9" t="inlineStr">
        <is>
          <t>Exit Date</t>
        </is>
      </c>
      <c r="B9" s="4" t="inlineStr">
        <is>
          <t>31-Dec-2029</t>
        </is>
      </c>
    </row>
    <row r="11">
      <c r="A11" s="2" t="inlineStr">
        <is>
          <t>LTM OPERATING — FY2023A (Demo #1)</t>
        </is>
      </c>
      <c r="B11" s="3" t="n"/>
      <c r="C11" s="3" t="n"/>
    </row>
    <row r="12">
      <c r="A12" s="4" t="inlineStr">
        <is>
          <t>Revenue (LTM)</t>
        </is>
      </c>
      <c r="B12" s="6" t="n">
        <v>480</v>
      </c>
    </row>
    <row r="13">
      <c r="A13" s="4" t="inlineStr">
        <is>
          <t>EBITDA (LTM)</t>
        </is>
      </c>
      <c r="B13" s="6" t="n">
        <v>110.4</v>
      </c>
    </row>
    <row r="14">
      <c r="A14" s="4" t="inlineStr">
        <is>
          <t>D&amp;A (LTM)</t>
        </is>
      </c>
      <c r="B14" s="6" t="n">
        <v>34.9</v>
      </c>
    </row>
    <row r="15">
      <c r="A15" t="inlineStr">
        <is>
          <t>EBITDA Margin (LTM)</t>
        </is>
      </c>
      <c r="B15" s="7">
        <f>B13/B12</f>
        <v/>
      </c>
    </row>
    <row r="17">
      <c r="A17" s="2" t="inlineStr">
        <is>
          <t>TRANSACTION &amp; VALUATION</t>
        </is>
      </c>
      <c r="B17" s="3" t="n"/>
      <c r="C17" s="3" t="n"/>
    </row>
    <row r="18">
      <c r="A18" s="4" t="inlineStr">
        <is>
          <t>Entry EV / EBITDA Multiple</t>
        </is>
      </c>
      <c r="B18" s="8" t="n">
        <v>8</v>
      </c>
    </row>
    <row r="19">
      <c r="A19" s="4" t="inlineStr">
        <is>
          <t>Exit EV / EBITDA Multiple</t>
        </is>
      </c>
      <c r="B19" s="8" t="n">
        <v>9</v>
      </c>
    </row>
    <row r="20">
      <c r="A20" t="inlineStr">
        <is>
          <t>Entry Enterprise Value</t>
        </is>
      </c>
      <c r="B20" s="9">
        <f>B18*B13</f>
        <v/>
      </c>
    </row>
    <row r="21">
      <c r="A21" s="4" t="inlineStr">
        <is>
          <t>Cash (pre-transaction)</t>
        </is>
      </c>
      <c r="B21" s="6" t="n">
        <v>45</v>
      </c>
    </row>
    <row r="22">
      <c r="A22" s="4" t="inlineStr">
        <is>
          <t>Existing Debt (refinanced at close)</t>
        </is>
      </c>
      <c r="B22" s="6" t="n">
        <v>100</v>
      </c>
    </row>
    <row r="23">
      <c r="A23" t="inlineStr">
        <is>
          <t>Net Debt (pre-transaction)</t>
        </is>
      </c>
      <c r="B23" s="10">
        <f>B22-B21</f>
        <v/>
      </c>
    </row>
    <row r="24">
      <c r="A24" t="inlineStr">
        <is>
          <t>Implied Equity Value (Entry)</t>
        </is>
      </c>
      <c r="B24" s="9">
        <f>B20-B23</f>
        <v/>
      </c>
    </row>
    <row r="25">
      <c r="A25" s="4" t="inlineStr">
        <is>
          <t>Transaction Fees (% of EV)</t>
        </is>
      </c>
      <c r="B25" s="11" t="n">
        <v>0.02</v>
      </c>
    </row>
    <row r="26">
      <c r="A26" t="inlineStr">
        <is>
          <t>Transaction Fees ($M)</t>
        </is>
      </c>
      <c r="B26" s="10">
        <f>B20*B25</f>
        <v/>
      </c>
    </row>
    <row r="27">
      <c r="A27" s="4" t="inlineStr">
        <is>
          <t>Management Rollover (% of Sponsor Equity)</t>
        </is>
      </c>
      <c r="B27" s="11" t="n">
        <v>0.05</v>
      </c>
    </row>
    <row r="29">
      <c r="A29" s="2" t="inlineStr">
        <is>
          <t>OPERATING DRIVERS — FORECAST (Y1–Y5)</t>
        </is>
      </c>
      <c r="B29" s="3" t="n"/>
      <c r="C29" s="3" t="n"/>
    </row>
    <row r="30">
      <c r="A30" s="4" t="inlineStr">
        <is>
          <t>Revenue Growth (Y1–Y5, each year)</t>
        </is>
      </c>
      <c r="B30" s="11" t="n">
        <v>0.05</v>
      </c>
    </row>
    <row r="31">
      <c r="A31" s="4" t="inlineStr">
        <is>
          <t>EBITDA Margin (forecast)</t>
        </is>
      </c>
      <c r="B31" s="11" t="n">
        <v>0.235</v>
      </c>
    </row>
    <row r="32">
      <c r="A32" s="4" t="inlineStr">
        <is>
          <t>D&amp;A (% of Revenue)</t>
        </is>
      </c>
      <c r="B32" s="11" t="n">
        <v>0.073</v>
      </c>
    </row>
    <row r="33">
      <c r="A33" s="4" t="inlineStr">
        <is>
          <t>CapEx (% of Revenue)</t>
        </is>
      </c>
      <c r="B33" s="11" t="n">
        <v>0.04</v>
      </c>
    </row>
    <row r="34">
      <c r="A34" s="4" t="inlineStr">
        <is>
          <t>ΔNWC (% of Revenue Growth)</t>
        </is>
      </c>
      <c r="B34" s="11" t="n">
        <v>0.1</v>
      </c>
    </row>
    <row r="35">
      <c r="A35" s="4" t="inlineStr">
        <is>
          <t>Tax Rate</t>
        </is>
      </c>
      <c r="B35" s="11" t="n">
        <v>0.25</v>
      </c>
    </row>
    <row r="37">
      <c r="A37" s="2" t="inlineStr">
        <is>
          <t>DEBT FINANCING — TRANCHES AT CLOSE</t>
        </is>
      </c>
      <c r="B37" s="3" t="n"/>
      <c r="C37" s="3" t="n"/>
    </row>
    <row r="38">
      <c r="A38" s="4" t="inlineStr">
        <is>
          <t>SOFR / Base Rate</t>
        </is>
      </c>
      <c r="B38" s="11" t="n">
        <v>0.05</v>
      </c>
    </row>
    <row r="39">
      <c r="A39" s="4" t="inlineStr">
        <is>
          <t>Term Loan A — Amount</t>
        </is>
      </c>
      <c r="B39" s="6" t="n">
        <v>200</v>
      </c>
    </row>
    <row r="40">
      <c r="A40" s="4" t="inlineStr">
        <is>
          <t>Term Loan A — Spread</t>
        </is>
      </c>
      <c r="B40" s="11" t="n">
        <v>0.0275</v>
      </c>
    </row>
    <row r="41">
      <c r="A41" s="4" t="inlineStr">
        <is>
          <t>Term Loan A — Mandatory Amort (%/yr)</t>
        </is>
      </c>
      <c r="B41" s="11" t="n">
        <v>0.05</v>
      </c>
    </row>
    <row r="43">
      <c r="A43" s="4" t="inlineStr">
        <is>
          <t>Term Loan B — Amount</t>
        </is>
      </c>
      <c r="B43" s="6" t="n">
        <v>380</v>
      </c>
    </row>
    <row r="44">
      <c r="A44" s="4" t="inlineStr">
        <is>
          <t>Term Loan B — Spread</t>
        </is>
      </c>
      <c r="B44" s="11" t="n">
        <v>0.045</v>
      </c>
    </row>
    <row r="45">
      <c r="A45" s="4" t="inlineStr">
        <is>
          <t>Term Loan B — Mandatory Amort (%/yr)</t>
        </is>
      </c>
      <c r="B45" s="11" t="n">
        <v>0.01</v>
      </c>
    </row>
    <row r="47">
      <c r="A47" s="4" t="inlineStr">
        <is>
          <t>Mezzanine — Amount</t>
        </is>
      </c>
      <c r="B47" s="6" t="n">
        <v>120</v>
      </c>
    </row>
    <row r="48">
      <c r="A48" s="4" t="inlineStr">
        <is>
          <t>Mezzanine — Cash Coupon</t>
        </is>
      </c>
      <c r="B48" s="11" t="n">
        <v>0.12</v>
      </c>
    </row>
    <row r="49">
      <c r="A49" s="4" t="inlineStr">
        <is>
          <t>Mezzanine — Mandatory Amort (%/yr)</t>
        </is>
      </c>
      <c r="B49" s="11" t="n">
        <v>0</v>
      </c>
    </row>
    <row r="51">
      <c r="A51" t="inlineStr">
        <is>
          <t>Total Debt at Close</t>
        </is>
      </c>
      <c r="B51" s="9">
        <f>B39+B43+B47</f>
        <v/>
      </c>
    </row>
    <row r="52">
      <c r="A52" t="inlineStr">
        <is>
          <t>Total Debt / LTM EBITDA</t>
        </is>
      </c>
      <c r="B52" s="12">
        <f>B51/B13</f>
        <v/>
      </c>
    </row>
    <row r="54">
      <c r="A54" s="2" t="inlineStr">
        <is>
          <t>CASH SWEEP &amp; LIQUIDITY</t>
        </is>
      </c>
      <c r="B54" s="3" t="n"/>
      <c r="C54" s="3" t="n"/>
    </row>
    <row r="55">
      <c r="A55" s="4" t="inlineStr">
        <is>
          <t>Cash Sweep (% of Excess CF)</t>
        </is>
      </c>
      <c r="B55" s="11" t="n">
        <v>0.75</v>
      </c>
    </row>
    <row r="56">
      <c r="A56" s="4" t="inlineStr">
        <is>
          <t>Minimum Cash Balance</t>
        </is>
      </c>
      <c r="B56" s="6" t="n">
        <v>25</v>
      </c>
    </row>
    <row r="58">
      <c r="A58" s="2" t="inlineStr">
        <is>
          <t>• Blue = inputs; black = formulas. All values USD ($M).</t>
        </is>
      </c>
      <c r="B58" s="3" t="n"/>
      <c r="C58" s="3" t="n"/>
    </row>
    <row r="59">
      <c r="A59" t="inlineStr">
        <is>
          <t>• Entry 8.0x EV/EBITDA references Demo #7 precedent transactions.</t>
        </is>
      </c>
    </row>
    <row r="60">
      <c r="A60" t="inlineStr">
        <is>
          <t>• Existing net debt $55M refinanced at close (Demo #1 / DCF bridge).</t>
        </is>
      </c>
    </row>
    <row r="61">
      <c r="A61" t="inlineStr">
        <is>
          <t>• Cash sweep applies optional prepayment to TLB after mandatory amort.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28" customWidth="1" min="3" max="3"/>
  </cols>
  <sheetData>
    <row r="1">
      <c r="A1" s="1" t="inlineStr">
        <is>
          <t>Sources &amp; Uses — Transaction Close</t>
        </is>
      </c>
    </row>
    <row r="2">
      <c r="A2" t="inlineStr">
        <is>
          <t>Sava Industrial Co.Ltd LBO | Aurora Capital Partners</t>
        </is>
      </c>
    </row>
    <row r="4">
      <c r="A4" s="13" t="inlineStr"/>
      <c r="B4" s="13" t="inlineStr">
        <is>
          <t>Amount ($M)</t>
        </is>
      </c>
      <c r="C4" s="13" t="inlineStr">
        <is>
          <t>Notes</t>
        </is>
      </c>
    </row>
    <row r="5">
      <c r="A5" s="2" t="inlineStr">
        <is>
          <t>USES OF FUNDS</t>
        </is>
      </c>
      <c r="B5" s="3" t="n"/>
      <c r="C5" s="3" t="n"/>
    </row>
    <row r="6">
      <c r="A6" t="inlineStr">
        <is>
          <t>Purchase Equity (Entry)</t>
        </is>
      </c>
      <c r="B6" s="10">
        <f>Assumptions!B24</f>
        <v/>
      </c>
      <c r="C6" t="inlineStr">
        <is>
          <t>EV − net debt</t>
        </is>
      </c>
    </row>
    <row r="7">
      <c r="A7" t="inlineStr">
        <is>
          <t>Refinance Existing Debt</t>
        </is>
      </c>
      <c r="B7" s="10">
        <f>Assumptions!B22</f>
        <v/>
      </c>
      <c r="C7" t="inlineStr">
        <is>
          <t>Repay legacy term debt</t>
        </is>
      </c>
    </row>
    <row r="8">
      <c r="A8" t="inlineStr">
        <is>
          <t>Transaction Fees</t>
        </is>
      </c>
      <c r="B8" s="10">
        <f>Assumptions!B26</f>
        <v/>
      </c>
    </row>
    <row r="9">
      <c r="A9" t="inlineStr">
        <is>
          <t>Fund Minimum Cash (post-close)</t>
        </is>
      </c>
      <c r="B9" s="10">
        <f>Assumptions!B56</f>
        <v/>
      </c>
    </row>
    <row r="10">
      <c r="A10" t="inlineStr">
        <is>
          <t>Total Uses</t>
        </is>
      </c>
      <c r="B10" s="9">
        <f>SUM(B6:B9)</f>
        <v/>
      </c>
    </row>
    <row r="12">
      <c r="A12" s="2" t="inlineStr">
        <is>
          <t>SOURCES OF FUNDS</t>
        </is>
      </c>
      <c r="B12" s="3" t="n"/>
      <c r="C12" s="3" t="n"/>
    </row>
    <row r="13">
      <c r="A13" t="inlineStr">
        <is>
          <t>Term Loan A</t>
        </is>
      </c>
      <c r="B13" s="10">
        <f>Assumptions!B39</f>
        <v/>
      </c>
    </row>
    <row r="14">
      <c r="A14" t="inlineStr">
        <is>
          <t>Term Loan B</t>
        </is>
      </c>
      <c r="B14" s="10">
        <f>Assumptions!B43</f>
        <v/>
      </c>
    </row>
    <row r="15">
      <c r="A15" t="inlineStr">
        <is>
          <t>Mezzanine</t>
        </is>
      </c>
      <c r="B15" s="10">
        <f>Assumptions!B47</f>
        <v/>
      </c>
    </row>
    <row r="16">
      <c r="A16" t="inlineStr">
        <is>
          <t>Sponsor Equity (plug)</t>
        </is>
      </c>
      <c r="B16" s="9">
        <f>B10-B13-B14-B15</f>
        <v/>
      </c>
      <c r="C16" t="inlineStr">
        <is>
          <t>Aurora Capital primary equity</t>
        </is>
      </c>
    </row>
    <row r="17">
      <c r="A17" t="inlineStr">
        <is>
          <t>Management Rollover Equity</t>
        </is>
      </c>
      <c r="B17" s="10">
        <f>B16*Assumptions!B27/(1-Assumptions!B27)</f>
        <v/>
      </c>
      <c r="C17" t="inlineStr">
        <is>
          <t>Mgmt co-invest (reduces sponsor check)</t>
        </is>
      </c>
    </row>
    <row r="18">
      <c r="A18" t="inlineStr">
        <is>
          <t>Sponsor Net Equity (post-rollover)</t>
        </is>
      </c>
      <c r="B18" s="14">
        <f>B16-B17</f>
        <v/>
      </c>
    </row>
    <row r="19">
      <c r="A19" t="inlineStr">
        <is>
          <t>Total Sources</t>
        </is>
      </c>
      <c r="B19" s="9">
        <f>B13+B14+B15+B16</f>
        <v/>
      </c>
    </row>
    <row r="21">
      <c r="A21" t="inlineStr">
        <is>
          <t>Sources − Uses (check)</t>
        </is>
      </c>
      <c r="B21" s="15">
        <f>B19-B10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Operating Model — Sava Industrial (Post-LBO)</t>
        </is>
      </c>
    </row>
    <row r="2">
      <c r="A2" t="inlineStr">
        <is>
          <t>Year 0 = LTM stub; Years 1–5 = hold-period forecast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t="inlineStr">
        <is>
          <t>Revenue</t>
        </is>
      </c>
      <c r="B6" s="10">
        <f>Assumptions!B12</f>
        <v/>
      </c>
      <c r="C6" s="10">
        <f>C6*(1+Assumptions!$B$30)</f>
        <v/>
      </c>
      <c r="D6" s="10">
        <f>D6*(1+Assumptions!$B$30)</f>
        <v/>
      </c>
      <c r="E6" s="10">
        <f>E6*(1+Assumptions!$B$30)</f>
        <v/>
      </c>
      <c r="F6" s="10">
        <f>F6*(1+Assumptions!$B$30)</f>
        <v/>
      </c>
      <c r="G6" s="10">
        <f>G6*(1+Assumptions!$B$30)</f>
        <v/>
      </c>
    </row>
    <row r="7">
      <c r="A7" t="inlineStr">
        <is>
          <t>EBITDA</t>
        </is>
      </c>
      <c r="B7" s="10">
        <f>Assumptions!B13</f>
        <v/>
      </c>
      <c r="C7" s="10">
        <f>C6*Assumptions!$B$31</f>
        <v/>
      </c>
      <c r="D7" s="10">
        <f>D6*Assumptions!$B$31</f>
        <v/>
      </c>
      <c r="E7" s="10">
        <f>E6*Assumptions!$B$31</f>
        <v/>
      </c>
      <c r="F7" s="10">
        <f>F6*Assumptions!$B$31</f>
        <v/>
      </c>
      <c r="G7" s="10">
        <f>G6*Assumptions!$B$31</f>
        <v/>
      </c>
    </row>
    <row r="8">
      <c r="A8" t="inlineStr">
        <is>
          <t>EBITDA Margin</t>
        </is>
      </c>
      <c r="B8" s="7">
        <f>IF(B6=0,0,B7/B6)</f>
        <v/>
      </c>
      <c r="C8" s="7">
        <f>IF(C6=0,0,C7/C6)</f>
        <v/>
      </c>
      <c r="D8" s="7">
        <f>IF(D6=0,0,D7/D6)</f>
        <v/>
      </c>
      <c r="E8" s="7">
        <f>IF(E6=0,0,E7/E6)</f>
        <v/>
      </c>
      <c r="F8" s="7">
        <f>IF(F6=0,0,F7/F6)</f>
        <v/>
      </c>
      <c r="G8" s="7">
        <f>IF(G6=0,0,G7/G6)</f>
        <v/>
      </c>
    </row>
    <row r="9">
      <c r="A9" t="inlineStr">
        <is>
          <t>D&amp;A</t>
        </is>
      </c>
      <c r="B9" s="10">
        <f>Assumptions!B14</f>
        <v/>
      </c>
      <c r="C9" s="10">
        <f>C6*Assumptions!$B$32</f>
        <v/>
      </c>
      <c r="D9" s="10">
        <f>D6*Assumptions!$B$32</f>
        <v/>
      </c>
      <c r="E9" s="10">
        <f>E6*Assumptions!$B$32</f>
        <v/>
      </c>
      <c r="F9" s="10">
        <f>F6*Assumptions!$B$32</f>
        <v/>
      </c>
      <c r="G9" s="10">
        <f>G6*Assumptions!$B$32</f>
        <v/>
      </c>
    </row>
    <row r="10">
      <c r="A10" t="inlineStr">
        <is>
          <t>EBIT</t>
        </is>
      </c>
      <c r="B10" s="10">
        <f>B7-B9</f>
        <v/>
      </c>
      <c r="C10" s="10">
        <f>C7-C9</f>
        <v/>
      </c>
      <c r="D10" s="10">
        <f>D7-D9</f>
        <v/>
      </c>
      <c r="E10" s="10">
        <f>E7-E9</f>
        <v/>
      </c>
      <c r="F10" s="10">
        <f>F7-F9</f>
        <v/>
      </c>
      <c r="G10" s="10">
        <f>G7-G9</f>
        <v/>
      </c>
    </row>
    <row r="11">
      <c r="A11" t="inlineStr">
        <is>
          <t>Taxes on EBIT</t>
        </is>
      </c>
      <c r="B11" s="10">
        <f>MAX(0,B10)*Assumptions!$B$35</f>
        <v/>
      </c>
      <c r="C11" s="10">
        <f>MAX(0,C10)*Assumptions!$B$35</f>
        <v/>
      </c>
      <c r="D11" s="10">
        <f>MAX(0,D10)*Assumptions!$B$35</f>
        <v/>
      </c>
      <c r="E11" s="10">
        <f>MAX(0,E10)*Assumptions!$B$35</f>
        <v/>
      </c>
      <c r="F11" s="10">
        <f>MAX(0,F10)*Assumptions!$B$35</f>
        <v/>
      </c>
      <c r="G11" s="10">
        <f>MAX(0,G10)*Assumptions!$B$35</f>
        <v/>
      </c>
    </row>
    <row r="12">
      <c r="A12" t="inlineStr">
        <is>
          <t>NOPAT (EBIT − Tax)</t>
        </is>
      </c>
      <c r="B12" s="10">
        <f>B10-B11</f>
        <v/>
      </c>
      <c r="C12" s="10">
        <f>C10-C11</f>
        <v/>
      </c>
      <c r="D12" s="10">
        <f>D10-D11</f>
        <v/>
      </c>
      <c r="E12" s="10">
        <f>E10-E11</f>
        <v/>
      </c>
      <c r="F12" s="10">
        <f>F10-F11</f>
        <v/>
      </c>
      <c r="G12" s="10">
        <f>G10-G11</f>
        <v/>
      </c>
    </row>
    <row r="14">
      <c r="A14" s="2" t="inlineStr">
        <is>
          <t>UNLEVERED FREE CASH FLOW BUILD</t>
        </is>
      </c>
      <c r="B14" s="3" t="n"/>
      <c r="C14" s="3" t="n"/>
      <c r="D14" s="3" t="n"/>
      <c r="E14" s="3" t="n"/>
      <c r="F14" s="3" t="n"/>
      <c r="G14" s="3" t="n"/>
    </row>
    <row r="15">
      <c r="A15" t="inlineStr">
        <is>
          <t>CapEx</t>
        </is>
      </c>
      <c r="B15" s="10">
        <f>B6*Assumptions!$B$33</f>
        <v/>
      </c>
      <c r="C15" s="10">
        <f>C6*Assumptions!$B$33</f>
        <v/>
      </c>
      <c r="D15" s="10">
        <f>D6*Assumptions!$B$33</f>
        <v/>
      </c>
      <c r="E15" s="10">
        <f>E6*Assumptions!$B$33</f>
        <v/>
      </c>
      <c r="F15" s="10">
        <f>F6*Assumptions!$B$33</f>
        <v/>
      </c>
      <c r="G15" s="10">
        <f>G6*Assumptions!$B$33</f>
        <v/>
      </c>
    </row>
    <row r="16">
      <c r="A16" t="inlineStr">
        <is>
          <t>Δ Net Working Capital</t>
        </is>
      </c>
      <c r="B16" s="10" t="n">
        <v>0</v>
      </c>
      <c r="C16" s="10">
        <f>(C6-C6)*Assumptions!$B$34</f>
        <v/>
      </c>
      <c r="D16" s="10">
        <f>(D6-D6)*Assumptions!$B$34</f>
        <v/>
      </c>
      <c r="E16" s="10">
        <f>(E6-E6)*Assumptions!$B$34</f>
        <v/>
      </c>
      <c r="F16" s="10">
        <f>(F6-F6)*Assumptions!$B$34</f>
        <v/>
      </c>
      <c r="G16" s="10">
        <f>(G6-G6)*Assumptions!$B$34</f>
        <v/>
      </c>
    </row>
    <row r="17">
      <c r="A17" t="inlineStr">
        <is>
          <t>Unlevered FCF (EBITDA − Tax − CapEx − ΔNWC)</t>
        </is>
      </c>
      <c r="B17" s="10">
        <f>B7-B11-B15-B16</f>
        <v/>
      </c>
      <c r="C17" s="10">
        <f>C7-C11-C15-C16</f>
        <v/>
      </c>
      <c r="D17" s="10">
        <f>D7-D11-D15-D16</f>
        <v/>
      </c>
      <c r="E17" s="10">
        <f>E7-E11-E15-E16</f>
        <v/>
      </c>
      <c r="F17" s="10">
        <f>F7-F11-F15-F16</f>
        <v/>
      </c>
      <c r="G17" s="9">
        <f>G7-G11-G15-G16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Debt Schedule — TLA / TLB / Mezzanine</t>
        </is>
      </c>
    </row>
    <row r="2">
      <c r="A2" t="inlineStr">
        <is>
          <t>Mandatory amort + optional cash sweep prepayments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s="2" t="inlineStr">
        <is>
          <t>TERM LOAN A (Senior)</t>
        </is>
      </c>
      <c r="B6" s="3" t="n"/>
      <c r="C6" s="3" t="n"/>
      <c r="D6" s="3" t="n"/>
      <c r="E6" s="3" t="n"/>
      <c r="F6" s="3" t="n"/>
      <c r="G6" s="3" t="n"/>
    </row>
    <row r="7">
      <c r="A7" t="inlineStr">
        <is>
          <t>Beginning Balance</t>
        </is>
      </c>
      <c r="B7" s="10">
        <f>'Sources &amp; Uses'!B13</f>
        <v/>
      </c>
      <c r="C7" s="10">
        <f>C13</f>
        <v/>
      </c>
      <c r="D7" s="10">
        <f>D13</f>
        <v/>
      </c>
      <c r="E7" s="10">
        <f>E13</f>
        <v/>
      </c>
      <c r="F7" s="10">
        <f>F13</f>
        <v/>
      </c>
      <c r="G7" s="10">
        <f>G13</f>
        <v/>
      </c>
    </row>
    <row r="8">
      <c r="A8" t="inlineStr">
        <is>
          <t>Mandatory Amortization</t>
        </is>
      </c>
      <c r="B8" s="10" t="n">
        <v>0</v>
      </c>
      <c r="C8" s="10">
        <f>C7*Assumptions!$B$41</f>
        <v/>
      </c>
      <c r="D8" s="10">
        <f>D7*Assumptions!$B$41</f>
        <v/>
      </c>
      <c r="E8" s="10">
        <f>E7*Assumptions!$B$41</f>
        <v/>
      </c>
      <c r="F8" s="10">
        <f>F7*Assumptions!$B$41</f>
        <v/>
      </c>
      <c r="G8" s="10">
        <f>G7*Assumptions!$B$41</f>
        <v/>
      </c>
    </row>
    <row r="9">
      <c r="A9" t="inlineStr">
        <is>
          <t>Cash Sweep Prepayment</t>
        </is>
      </c>
      <c r="B9" s="10" t="n">
        <v>0</v>
      </c>
      <c r="C9" s="10">
        <f>'Cash Flow'!C16</f>
        <v/>
      </c>
      <c r="D9" s="10">
        <f>'Cash Flow'!D16</f>
        <v/>
      </c>
      <c r="E9" s="10">
        <f>'Cash Flow'!E16</f>
        <v/>
      </c>
      <c r="F9" s="10">
        <f>'Cash Flow'!F16</f>
        <v/>
      </c>
      <c r="G9" s="10">
        <f>'Cash Flow'!G16</f>
        <v/>
      </c>
    </row>
    <row r="10">
      <c r="A10" t="inlineStr">
        <is>
          <t>Total Principal Repayment</t>
        </is>
      </c>
      <c r="B10" s="10">
        <f>B8+B9</f>
        <v/>
      </c>
      <c r="C10" s="10">
        <f>C8+C9</f>
        <v/>
      </c>
      <c r="D10" s="10">
        <f>D8+D9</f>
        <v/>
      </c>
      <c r="E10" s="10">
        <f>E8+E9</f>
        <v/>
      </c>
      <c r="F10" s="10">
        <f>F8+F9</f>
        <v/>
      </c>
      <c r="G10" s="10">
        <f>G8+G9</f>
        <v/>
      </c>
    </row>
    <row r="11">
      <c r="A11" t="inlineStr">
        <is>
          <t>All-in Cash Rate</t>
        </is>
      </c>
      <c r="B11" s="7">
        <f>$B$11</f>
        <v/>
      </c>
      <c r="C11" s="7">
        <f>$B$11</f>
        <v/>
      </c>
      <c r="D11" s="7">
        <f>$B$11</f>
        <v/>
      </c>
      <c r="E11" s="7">
        <f>$B$11</f>
        <v/>
      </c>
      <c r="F11" s="7">
        <f>$B$11</f>
        <v/>
      </c>
      <c r="G11" s="7">
        <f>$B$11</f>
        <v/>
      </c>
    </row>
    <row r="12">
      <c r="A12" t="inlineStr">
        <is>
          <t>Cash Interest Expense</t>
        </is>
      </c>
      <c r="B12" s="10" t="n">
        <v>0</v>
      </c>
      <c r="C12" s="10">
        <f>C7*C11</f>
        <v/>
      </c>
      <c r="D12" s="10">
        <f>D7*D11</f>
        <v/>
      </c>
      <c r="E12" s="10">
        <f>E7*E11</f>
        <v/>
      </c>
      <c r="F12" s="10">
        <f>F7*F11</f>
        <v/>
      </c>
      <c r="G12" s="10">
        <f>G7*G11</f>
        <v/>
      </c>
    </row>
    <row r="13">
      <c r="A13" t="inlineStr">
        <is>
          <t>Ending Balance</t>
        </is>
      </c>
      <c r="B13" s="10">
        <f>B7</f>
        <v/>
      </c>
      <c r="C13" s="10">
        <f>MAX(0,C7-C10)</f>
        <v/>
      </c>
      <c r="D13" s="10">
        <f>MAX(0,D7-D10)</f>
        <v/>
      </c>
      <c r="E13" s="10">
        <f>MAX(0,E7-E10)</f>
        <v/>
      </c>
      <c r="F13" s="10">
        <f>MAX(0,F7-F10)</f>
        <v/>
      </c>
      <c r="G13" s="9">
        <f>MAX(0,G7-G10)</f>
        <v/>
      </c>
    </row>
    <row r="15">
      <c r="A15" s="2" t="inlineStr">
        <is>
          <t>TERM LOAN B (Senior Sub / Bullet-leaning)</t>
        </is>
      </c>
      <c r="B15" s="3" t="n"/>
      <c r="C15" s="3" t="n"/>
      <c r="D15" s="3" t="n"/>
      <c r="E15" s="3" t="n"/>
      <c r="F15" s="3" t="n"/>
      <c r="G15" s="3" t="n"/>
    </row>
    <row r="16">
      <c r="A16" t="inlineStr">
        <is>
          <t>Beginning Balance</t>
        </is>
      </c>
      <c r="B16" s="10">
        <f>'Sources &amp; Uses'!B14</f>
        <v/>
      </c>
      <c r="C16" s="10">
        <f>C22</f>
        <v/>
      </c>
      <c r="D16" s="10">
        <f>D22</f>
        <v/>
      </c>
      <c r="E16" s="10">
        <f>E22</f>
        <v/>
      </c>
      <c r="F16" s="10">
        <f>F22</f>
        <v/>
      </c>
      <c r="G16" s="10">
        <f>G22</f>
        <v/>
      </c>
    </row>
    <row r="17">
      <c r="A17" t="inlineStr">
        <is>
          <t>Mandatory Amortization</t>
        </is>
      </c>
      <c r="B17" s="10" t="n">
        <v>0</v>
      </c>
      <c r="C17" s="10">
        <f>C16*Assumptions!$B$45</f>
        <v/>
      </c>
      <c r="D17" s="10">
        <f>D16*Assumptions!$B$45</f>
        <v/>
      </c>
      <c r="E17" s="10">
        <f>E16*Assumptions!$B$45</f>
        <v/>
      </c>
      <c r="F17" s="10">
        <f>F16*Assumptions!$B$45</f>
        <v/>
      </c>
      <c r="G17" s="10">
        <f>G16*Assumptions!$B$45</f>
        <v/>
      </c>
    </row>
    <row r="18">
      <c r="A18" t="inlineStr">
        <is>
          <t>Cash Sweep Prepayment</t>
        </is>
      </c>
      <c r="B18" s="10" t="n">
        <v>0</v>
      </c>
      <c r="C18" s="10">
        <f>'Cash Flow'!C14</f>
        <v/>
      </c>
      <c r="D18" s="10">
        <f>'Cash Flow'!D14</f>
        <v/>
      </c>
      <c r="E18" s="10">
        <f>'Cash Flow'!E14</f>
        <v/>
      </c>
      <c r="F18" s="10">
        <f>'Cash Flow'!F14</f>
        <v/>
      </c>
      <c r="G18" s="10">
        <f>'Cash Flow'!G14</f>
        <v/>
      </c>
    </row>
    <row r="19">
      <c r="A19" t="inlineStr">
        <is>
          <t>Total Principal Repayment</t>
        </is>
      </c>
      <c r="B19" s="10">
        <f>B17+B18</f>
        <v/>
      </c>
      <c r="C19" s="10">
        <f>C17+C18</f>
        <v/>
      </c>
      <c r="D19" s="10">
        <f>D17+D18</f>
        <v/>
      </c>
      <c r="E19" s="10">
        <f>E17+E18</f>
        <v/>
      </c>
      <c r="F19" s="10">
        <f>F17+F18</f>
        <v/>
      </c>
      <c r="G19" s="10">
        <f>G17+G18</f>
        <v/>
      </c>
    </row>
    <row r="20">
      <c r="A20" t="inlineStr">
        <is>
          <t>All-in Cash Rate</t>
        </is>
      </c>
      <c r="B20" s="7">
        <f>$B$20</f>
        <v/>
      </c>
      <c r="C20" s="7">
        <f>$B$20</f>
        <v/>
      </c>
      <c r="D20" s="7">
        <f>$B$20</f>
        <v/>
      </c>
      <c r="E20" s="7">
        <f>$B$20</f>
        <v/>
      </c>
      <c r="F20" s="7">
        <f>$B$20</f>
        <v/>
      </c>
      <c r="G20" s="7">
        <f>$B$20</f>
        <v/>
      </c>
    </row>
    <row r="21">
      <c r="A21" t="inlineStr">
        <is>
          <t>Cash Interest Expense</t>
        </is>
      </c>
      <c r="B21" s="10" t="n">
        <v>0</v>
      </c>
      <c r="C21" s="10">
        <f>C16*C20</f>
        <v/>
      </c>
      <c r="D21" s="10">
        <f>D16*D20</f>
        <v/>
      </c>
      <c r="E21" s="10">
        <f>E16*E20</f>
        <v/>
      </c>
      <c r="F21" s="10">
        <f>F16*F20</f>
        <v/>
      </c>
      <c r="G21" s="10">
        <f>G16*G20</f>
        <v/>
      </c>
    </row>
    <row r="22">
      <c r="A22" t="inlineStr">
        <is>
          <t>Ending Balance</t>
        </is>
      </c>
      <c r="B22" s="10">
        <f>B16</f>
        <v/>
      </c>
      <c r="C22" s="10">
        <f>MAX(0,C16-C19)</f>
        <v/>
      </c>
      <c r="D22" s="10">
        <f>MAX(0,D16-D19)</f>
        <v/>
      </c>
      <c r="E22" s="10">
        <f>MAX(0,E16-E19)</f>
        <v/>
      </c>
      <c r="F22" s="10">
        <f>MAX(0,F16-F19)</f>
        <v/>
      </c>
      <c r="G22" s="9">
        <f>MAX(0,G16-G19)</f>
        <v/>
      </c>
    </row>
    <row r="24">
      <c r="A24" s="2" t="inlineStr">
        <is>
          <t>MEZZANINE</t>
        </is>
      </c>
      <c r="B24" s="3" t="n"/>
      <c r="C24" s="3" t="n"/>
      <c r="D24" s="3" t="n"/>
      <c r="E24" s="3" t="n"/>
      <c r="F24" s="3" t="n"/>
      <c r="G24" s="3" t="n"/>
    </row>
    <row r="25">
      <c r="A25" t="inlineStr">
        <is>
          <t>Beginning Balance</t>
        </is>
      </c>
      <c r="B25" s="10">
        <f>'Sources &amp; Uses'!B15</f>
        <v/>
      </c>
      <c r="C25" s="10">
        <f>C31</f>
        <v/>
      </c>
      <c r="D25" s="10">
        <f>D31</f>
        <v/>
      </c>
      <c r="E25" s="10">
        <f>E31</f>
        <v/>
      </c>
      <c r="F25" s="10">
        <f>F31</f>
        <v/>
      </c>
      <c r="G25" s="10">
        <f>G31</f>
        <v/>
      </c>
    </row>
    <row r="26">
      <c r="A26" t="inlineStr">
        <is>
          <t>Mandatory Amortization</t>
        </is>
      </c>
      <c r="B26" s="10" t="n">
        <v>0</v>
      </c>
      <c r="C26" s="10">
        <f>C25*Assumptions!$B$49</f>
        <v/>
      </c>
      <c r="D26" s="10">
        <f>D25*Assumptions!$B$49</f>
        <v/>
      </c>
      <c r="E26" s="10">
        <f>E25*Assumptions!$B$49</f>
        <v/>
      </c>
      <c r="F26" s="10">
        <f>F25*Assumptions!$B$49</f>
        <v/>
      </c>
      <c r="G26" s="10">
        <f>G25*Assumptions!$B$49</f>
        <v/>
      </c>
    </row>
    <row r="27">
      <c r="A27" t="inlineStr">
        <is>
          <t>Cash Sweep Prepayment</t>
        </is>
      </c>
      <c r="B27" s="10" t="n">
        <v>0</v>
      </c>
      <c r="C27" s="10">
        <f>'Cash Flow'!C18</f>
        <v/>
      </c>
      <c r="D27" s="10">
        <f>'Cash Flow'!D18</f>
        <v/>
      </c>
      <c r="E27" s="10">
        <f>'Cash Flow'!E18</f>
        <v/>
      </c>
      <c r="F27" s="10">
        <f>'Cash Flow'!F18</f>
        <v/>
      </c>
      <c r="G27" s="10">
        <f>'Cash Flow'!G18</f>
        <v/>
      </c>
    </row>
    <row r="28">
      <c r="A28" t="inlineStr">
        <is>
          <t>Total Principal Repayment</t>
        </is>
      </c>
      <c r="B28" s="10">
        <f>B26+B27</f>
        <v/>
      </c>
      <c r="C28" s="10">
        <f>C26+C27</f>
        <v/>
      </c>
      <c r="D28" s="10">
        <f>D26+D27</f>
        <v/>
      </c>
      <c r="E28" s="10">
        <f>E26+E27</f>
        <v/>
      </c>
      <c r="F28" s="10">
        <f>F26+F27</f>
        <v/>
      </c>
      <c r="G28" s="10">
        <f>G26+G27</f>
        <v/>
      </c>
    </row>
    <row r="29">
      <c r="A29" t="inlineStr">
        <is>
          <t>All-in Cash Rate</t>
        </is>
      </c>
      <c r="B29" s="7">
        <f>$B$29</f>
        <v/>
      </c>
      <c r="C29" s="7">
        <f>$B$29</f>
        <v/>
      </c>
      <c r="D29" s="7">
        <f>$B$29</f>
        <v/>
      </c>
      <c r="E29" s="7">
        <f>$B$29</f>
        <v/>
      </c>
      <c r="F29" s="7">
        <f>$B$29</f>
        <v/>
      </c>
      <c r="G29" s="7">
        <f>$B$29</f>
        <v/>
      </c>
    </row>
    <row r="30">
      <c r="A30" t="inlineStr">
        <is>
          <t>Cash Interest Expense</t>
        </is>
      </c>
      <c r="B30" s="10" t="n">
        <v>0</v>
      </c>
      <c r="C30" s="10">
        <f>C25*C29</f>
        <v/>
      </c>
      <c r="D30" s="10">
        <f>D25*D29</f>
        <v/>
      </c>
      <c r="E30" s="10">
        <f>E25*E29</f>
        <v/>
      </c>
      <c r="F30" s="10">
        <f>F25*F29</f>
        <v/>
      </c>
      <c r="G30" s="10">
        <f>G25*G29</f>
        <v/>
      </c>
    </row>
    <row r="31">
      <c r="A31" t="inlineStr">
        <is>
          <t>Ending Balance</t>
        </is>
      </c>
      <c r="B31" s="10">
        <f>B25</f>
        <v/>
      </c>
      <c r="C31" s="10">
        <f>MAX(0,C25-C28)</f>
        <v/>
      </c>
      <c r="D31" s="10">
        <f>MAX(0,D25-D28)</f>
        <v/>
      </c>
      <c r="E31" s="10">
        <f>MAX(0,E25-E28)</f>
        <v/>
      </c>
      <c r="F31" s="10">
        <f>MAX(0,F25-F28)</f>
        <v/>
      </c>
      <c r="G31" s="9">
        <f>MAX(0,G25-G28)</f>
        <v/>
      </c>
    </row>
    <row r="33">
      <c r="A33" s="2" t="inlineStr">
        <is>
          <t>TOTAL DEBT SUMMARY</t>
        </is>
      </c>
      <c r="B33" s="3" t="n"/>
      <c r="C33" s="3" t="n"/>
      <c r="D33" s="3" t="n"/>
      <c r="E33" s="3" t="n"/>
      <c r="F33" s="3" t="n"/>
      <c r="G33" s="3" t="n"/>
    </row>
    <row r="34">
      <c r="A34" t="inlineStr">
        <is>
          <t>Total Debt — Beginning</t>
        </is>
      </c>
      <c r="B34" s="10">
        <f>B7+B16+B25</f>
        <v/>
      </c>
      <c r="C34" s="10">
        <f>C7+C16+C25</f>
        <v/>
      </c>
      <c r="D34" s="10">
        <f>D7+D16+D25</f>
        <v/>
      </c>
      <c r="E34" s="10">
        <f>E7+E16+E25</f>
        <v/>
      </c>
      <c r="F34" s="10">
        <f>F7+F16+F25</f>
        <v/>
      </c>
      <c r="G34" s="10">
        <f>G7+G16+G25</f>
        <v/>
      </c>
    </row>
    <row r="35">
      <c r="A35" t="inlineStr">
        <is>
          <t>Total Cash Interest</t>
        </is>
      </c>
      <c r="B35" s="10">
        <f>B12+B21+B30</f>
        <v/>
      </c>
      <c r="C35" s="10">
        <f>C12+C21+C30</f>
        <v/>
      </c>
      <c r="D35" s="10">
        <f>D12+D21+D30</f>
        <v/>
      </c>
      <c r="E35" s="10">
        <f>E12+E21+E30</f>
        <v/>
      </c>
      <c r="F35" s="10">
        <f>F12+F21+F30</f>
        <v/>
      </c>
      <c r="G35" s="10">
        <f>G12+G21+G30</f>
        <v/>
      </c>
    </row>
    <row r="36">
      <c r="A36" t="inlineStr">
        <is>
          <t>Total Principal Repayment</t>
        </is>
      </c>
      <c r="B36" s="10">
        <f>B10+B19+B28</f>
        <v/>
      </c>
      <c r="C36" s="10">
        <f>C10+C19+C28</f>
        <v/>
      </c>
      <c r="D36" s="10">
        <f>D10+D19+D28</f>
        <v/>
      </c>
      <c r="E36" s="10">
        <f>E10+E19+E28</f>
        <v/>
      </c>
      <c r="F36" s="10">
        <f>F10+F19+F28</f>
        <v/>
      </c>
      <c r="G36" s="10">
        <f>G10+G19+G28</f>
        <v/>
      </c>
    </row>
    <row r="37">
      <c r="A37" t="inlineStr">
        <is>
          <t>Total Debt — Ending</t>
        </is>
      </c>
      <c r="B37" s="10">
        <f>B13+B22+B31</f>
        <v/>
      </c>
      <c r="C37" s="10">
        <f>C13+C22+C31</f>
        <v/>
      </c>
      <c r="D37" s="10">
        <f>D13+D22+D31</f>
        <v/>
      </c>
      <c r="E37" s="10">
        <f>E13+E22+E31</f>
        <v/>
      </c>
      <c r="F37" s="10">
        <f>F13+F22+F31</f>
        <v/>
      </c>
      <c r="G37" s="9">
        <f>G13+G22+G31</f>
        <v/>
      </c>
    </row>
    <row r="38">
      <c r="A38" t="inlineStr">
        <is>
          <t>EBITDA / Cash Interest (Interest Coverage)</t>
        </is>
      </c>
      <c r="B38" s="19">
        <f>IF(B35=0,0,'Operating Model'!B7/B35)</f>
        <v/>
      </c>
      <c r="C38" s="19">
        <f>IF(C35=0,0,'Operating Model'!C7/C35)</f>
        <v/>
      </c>
      <c r="D38" s="19">
        <f>IF(D35=0,0,'Operating Model'!D7/D35)</f>
        <v/>
      </c>
      <c r="E38" s="19">
        <f>IF(E35=0,0,'Operating Model'!E7/E35)</f>
        <v/>
      </c>
      <c r="F38" s="19">
        <f>IF(F35=0,0,'Operating Model'!F7/F35)</f>
        <v/>
      </c>
      <c r="G38" s="19">
        <f>IF(G35=0,0,'Operating Model'!G7/G35)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Cash Flow — Levered FCF &amp; Cash Sweep</t>
        </is>
      </c>
    </row>
    <row r="2">
      <c r="A2" t="inlineStr">
        <is>
          <t>Excess cash after mandatory debt service swept to prepay TLB → TLA → Mezz</t>
        </is>
      </c>
    </row>
    <row r="4">
      <c r="A4" s="16" t="inlineStr">
        <is>
          <t>USD ($M)</t>
        </is>
      </c>
      <c r="B4" s="17" t="inlineStr">
        <is>
          <t>Year 0</t>
        </is>
      </c>
      <c r="C4" s="17" t="inlineStr">
        <is>
          <t>Year 1</t>
        </is>
      </c>
      <c r="D4" s="17" t="inlineStr">
        <is>
          <t>Year 2</t>
        </is>
      </c>
      <c r="E4" s="17" t="inlineStr">
        <is>
          <t>Year 3</t>
        </is>
      </c>
      <c r="F4" s="17" t="inlineStr">
        <is>
          <t>Year 4</t>
        </is>
      </c>
      <c r="G4" s="17" t="inlineStr">
        <is>
          <t>Year 5</t>
        </is>
      </c>
    </row>
    <row r="5">
      <c r="A5" t="inlineStr">
        <is>
          <t>Period End</t>
        </is>
      </c>
      <c r="B5" s="18" t="inlineStr">
        <is>
          <t>31-Dec-24</t>
        </is>
      </c>
      <c r="C5" s="18" t="inlineStr">
        <is>
          <t>31-Dec-25</t>
        </is>
      </c>
      <c r="D5" s="18" t="inlineStr">
        <is>
          <t>31-Dec-26</t>
        </is>
      </c>
      <c r="E5" s="18" t="inlineStr">
        <is>
          <t>31-Dec-27</t>
        </is>
      </c>
      <c r="F5" s="18" t="inlineStr">
        <is>
          <t>31-Dec-28</t>
        </is>
      </c>
      <c r="G5" s="18" t="inlineStr">
        <is>
          <t>31-Dec-29</t>
        </is>
      </c>
    </row>
    <row r="6">
      <c r="A6" t="inlineStr">
        <is>
          <t>Unlevered FCF (from Operating Model)</t>
        </is>
      </c>
      <c r="B6" s="10">
        <f>'Operating Model'!B17</f>
        <v/>
      </c>
      <c r="C6" s="10">
        <f>'Operating Model'!C17</f>
        <v/>
      </c>
      <c r="D6" s="10">
        <f>'Operating Model'!D17</f>
        <v/>
      </c>
      <c r="E6" s="10">
        <f>'Operating Model'!E17</f>
        <v/>
      </c>
      <c r="F6" s="10">
        <f>'Operating Model'!F17</f>
        <v/>
      </c>
      <c r="G6" s="10">
        <f>'Operating Model'!G17</f>
        <v/>
      </c>
    </row>
    <row r="7">
      <c r="A7" t="inlineStr">
        <is>
          <t>Less: Mandatory Amortization (all tranches)</t>
        </is>
      </c>
      <c r="B7" s="10" t="n">
        <v>0</v>
      </c>
      <c r="C7" s="10">
        <f>'Debt Schedule'!C8+'Debt Schedule'!C17+'Debt Schedule'!C26</f>
        <v/>
      </c>
      <c r="D7" s="10">
        <f>'Debt Schedule'!D8+'Debt Schedule'!D17+'Debt Schedule'!D26</f>
        <v/>
      </c>
      <c r="E7" s="10">
        <f>'Debt Schedule'!E8+'Debt Schedule'!E17+'Debt Schedule'!E26</f>
        <v/>
      </c>
      <c r="F7" s="10">
        <f>'Debt Schedule'!F8+'Debt Schedule'!F17+'Debt Schedule'!F26</f>
        <v/>
      </c>
      <c r="G7" s="10">
        <f>'Debt Schedule'!G8+'Debt Schedule'!G17+'Debt Schedule'!G26</f>
        <v/>
      </c>
    </row>
    <row r="8">
      <c r="A8" t="inlineStr">
        <is>
          <t>Less: Cash Interest (all tranches)</t>
        </is>
      </c>
      <c r="B8" s="10" t="n">
        <v>0</v>
      </c>
      <c r="C8" s="10">
        <f>'Debt Schedule'!C12+'Debt Schedule'!C21+'Debt Schedule'!C30</f>
        <v/>
      </c>
      <c r="D8" s="10">
        <f>'Debt Schedule'!D12+'Debt Schedule'!D21+'Debt Schedule'!D30</f>
        <v/>
      </c>
      <c r="E8" s="10">
        <f>'Debt Schedule'!E12+'Debt Schedule'!E21+'Debt Schedule'!E30</f>
        <v/>
      </c>
      <c r="F8" s="10">
        <f>'Debt Schedule'!F12+'Debt Schedule'!F21+'Debt Schedule'!F30</f>
        <v/>
      </c>
      <c r="G8" s="10">
        <f>'Debt Schedule'!G12+'Debt Schedule'!G21+'Debt Schedule'!G30</f>
        <v/>
      </c>
    </row>
    <row r="9">
      <c r="A9" t="inlineStr">
        <is>
          <t>Levered FCF (before optional sweep)</t>
        </is>
      </c>
      <c r="B9" s="10">
        <f>B6-B7-B8</f>
        <v/>
      </c>
      <c r="C9" s="10">
        <f>C6-C7-C8</f>
        <v/>
      </c>
      <c r="D9" s="10">
        <f>D6-D7-D8</f>
        <v/>
      </c>
      <c r="E9" s="10">
        <f>E6-E7-E8</f>
        <v/>
      </c>
      <c r="F9" s="10">
        <f>F6-F7-F8</f>
        <v/>
      </c>
      <c r="G9" s="10">
        <f>G6-G7-G8</f>
        <v/>
      </c>
    </row>
    <row r="10">
      <c r="A10" t="inlineStr">
        <is>
          <t>Excess Cash (above minimum balance target)</t>
        </is>
      </c>
      <c r="B10" s="10" t="n">
        <v>0</v>
      </c>
      <c r="C10" s="10">
        <f>MAX(0,C9-Assumptions!$B$56)</f>
        <v/>
      </c>
      <c r="D10" s="10">
        <f>MAX(0,D9-Assumptions!$B$56)</f>
        <v/>
      </c>
      <c r="E10" s="10">
        <f>MAX(0,E9-Assumptions!$B$56)</f>
        <v/>
      </c>
      <c r="F10" s="10">
        <f>MAX(0,F9-Assumptions!$B$56)</f>
        <v/>
      </c>
      <c r="G10" s="10">
        <f>MAX(0,G9-Assumptions!$B$56)</f>
        <v/>
      </c>
    </row>
    <row r="11">
      <c r="A11" t="inlineStr">
        <is>
          <t>Cash Sweep Amount</t>
        </is>
      </c>
      <c r="B11" s="10" t="n">
        <v>0</v>
      </c>
      <c r="C11" s="9">
        <f>C10*Assumptions!$B$55</f>
        <v/>
      </c>
      <c r="D11" s="9">
        <f>D10*Assumptions!$B$55</f>
        <v/>
      </c>
      <c r="E11" s="9">
        <f>E10*Assumptions!$B$55</f>
        <v/>
      </c>
      <c r="F11" s="9">
        <f>F10*Assumptions!$B$55</f>
        <v/>
      </c>
      <c r="G11" s="9">
        <f>G10*Assumptions!$B$55</f>
        <v/>
      </c>
    </row>
    <row r="13">
      <c r="A13" s="2" t="inlineStr">
        <is>
          <t>SWEEP ALLOCATION (TLB → TLA → MEZZ)</t>
        </is>
      </c>
      <c r="B13" s="3" t="n"/>
      <c r="C13" s="3" t="n"/>
      <c r="D13" s="3" t="n"/>
      <c r="E13" s="3" t="n"/>
      <c r="F13" s="3" t="n"/>
      <c r="G13" s="3" t="n"/>
    </row>
    <row r="14">
      <c r="A14" t="inlineStr">
        <is>
          <t>TLB Cash Sweep Prepayment</t>
        </is>
      </c>
      <c r="B14" s="10" t="n">
        <v>0</v>
      </c>
      <c r="C14" s="10">
        <f>MIN(C11,'Debt Schedule'!C16)</f>
        <v/>
      </c>
      <c r="D14" s="10">
        <f>MIN(D11,'Debt Schedule'!D16)</f>
        <v/>
      </c>
      <c r="E14" s="10">
        <f>MIN(E11,'Debt Schedule'!E16)</f>
        <v/>
      </c>
      <c r="F14" s="10">
        <f>MIN(F11,'Debt Schedule'!F16)</f>
        <v/>
      </c>
      <c r="G14" s="10">
        <f>MIN(G11,'Debt Schedule'!G16)</f>
        <v/>
      </c>
    </row>
    <row r="15">
      <c r="A15" t="inlineStr">
        <is>
          <t>Remaining Sweep after TLB</t>
        </is>
      </c>
      <c r="B15" s="10" t="n">
        <v>0</v>
      </c>
      <c r="C15" s="10">
        <f>MAX(0,C11-C14)</f>
        <v/>
      </c>
      <c r="D15" s="10">
        <f>MAX(0,D11-D14)</f>
        <v/>
      </c>
      <c r="E15" s="10">
        <f>MAX(0,E11-E14)</f>
        <v/>
      </c>
      <c r="F15" s="10">
        <f>MAX(0,F11-F14)</f>
        <v/>
      </c>
      <c r="G15" s="10">
        <f>MAX(0,G11-G14)</f>
        <v/>
      </c>
    </row>
    <row r="16">
      <c r="A16" t="inlineStr">
        <is>
          <t>TLA Cash Sweep Prepayment</t>
        </is>
      </c>
      <c r="B16" s="10" t="n">
        <v>0</v>
      </c>
      <c r="C16" s="10">
        <f>MIN(C15,'Debt Schedule'!C7)</f>
        <v/>
      </c>
      <c r="D16" s="10">
        <f>MIN(D15,'Debt Schedule'!D7)</f>
        <v/>
      </c>
      <c r="E16" s="10">
        <f>MIN(E15,'Debt Schedule'!E7)</f>
        <v/>
      </c>
      <c r="F16" s="10">
        <f>MIN(F15,'Debt Schedule'!F7)</f>
        <v/>
      </c>
      <c r="G16" s="10">
        <f>MIN(G15,'Debt Schedule'!G7)</f>
        <v/>
      </c>
    </row>
    <row r="17">
      <c r="A17" t="inlineStr">
        <is>
          <t>Remaining Sweep after TLA</t>
        </is>
      </c>
      <c r="B17" s="10" t="n">
        <v>0</v>
      </c>
      <c r="C17" s="10">
        <f>MAX(0,C15-C16)</f>
        <v/>
      </c>
      <c r="D17" s="10">
        <f>MAX(0,D15-D16)</f>
        <v/>
      </c>
      <c r="E17" s="10">
        <f>MAX(0,E15-E16)</f>
        <v/>
      </c>
      <c r="F17" s="10">
        <f>MAX(0,F15-F16)</f>
        <v/>
      </c>
      <c r="G17" s="10">
        <f>MAX(0,G15-G16)</f>
        <v/>
      </c>
    </row>
    <row r="18">
      <c r="A18" t="inlineStr">
        <is>
          <t>Mezz Cash Sweep Prepayment</t>
        </is>
      </c>
      <c r="B18" s="10" t="n">
        <v>0</v>
      </c>
      <c r="C18" s="10">
        <f>MIN(C17,'Debt Schedule'!C25)</f>
        <v/>
      </c>
      <c r="D18" s="10">
        <f>MIN(D17,'Debt Schedule'!D25)</f>
        <v/>
      </c>
      <c r="E18" s="10">
        <f>MIN(E17,'Debt Schedule'!E25)</f>
        <v/>
      </c>
      <c r="F18" s="10">
        <f>MIN(F17,'Debt Schedule'!F25)</f>
        <v/>
      </c>
      <c r="G18" s="10">
        <f>MIN(G17,'Debt Schedule'!G25)</f>
        <v/>
      </c>
    </row>
    <row r="20">
      <c r="A20" t="inlineStr">
        <is>
          <t>Ending Cash Balance</t>
        </is>
      </c>
      <c r="B20" s="10">
        <f>Assumptions!B56</f>
        <v/>
      </c>
      <c r="C20" s="10">
        <f>MAX(Assumptions!$B$56,C9-C11)</f>
        <v/>
      </c>
      <c r="D20" s="10">
        <f>MAX(Assumptions!$B$56,D9-D11)</f>
        <v/>
      </c>
      <c r="E20" s="10">
        <f>MAX(Assumptions!$B$56,E9-E11)</f>
        <v/>
      </c>
      <c r="F20" s="10">
        <f>MAX(Assumptions!$B$56,F9-F11)</f>
        <v/>
      </c>
      <c r="G20" s="9">
        <f>MAX(Assumptions!$B$56,G9-G11)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Returns Analysis — Sponsor Equity (Aurora Capital)</t>
        </is>
      </c>
    </row>
    <row r="2">
      <c r="A2" t="inlineStr">
        <is>
          <t>5-year hold | IRR via XIRR | MOIC = total proceeds / sponsor net equity</t>
        </is>
      </c>
    </row>
    <row r="4">
      <c r="A4" s="2" t="inlineStr">
        <is>
          <t>EXIT VALUATION (YEAR 5)</t>
        </is>
      </c>
      <c r="B4" s="3" t="n"/>
      <c r="C4" s="3" t="n"/>
    </row>
    <row r="5">
      <c r="A5" t="inlineStr">
        <is>
          <t>Exit Year EBITDA</t>
        </is>
      </c>
      <c r="B5" s="15">
        <f>'Operating Model'!G7</f>
        <v/>
      </c>
    </row>
    <row r="6">
      <c r="A6" t="inlineStr">
        <is>
          <t>Exit Enterprise Value</t>
        </is>
      </c>
      <c r="B6" s="9">
        <f>B5*Assumptions!B19</f>
        <v/>
      </c>
    </row>
    <row r="7">
      <c r="A7" t="inlineStr">
        <is>
          <t>Net Debt at Exit</t>
        </is>
      </c>
      <c r="B7" s="10">
        <f>'Debt Schedule'!G37-'Cash Flow'!G20</f>
        <v/>
      </c>
    </row>
    <row r="8">
      <c r="A8" t="inlineStr">
        <is>
          <t>Equity Value at Exit</t>
        </is>
      </c>
      <c r="B8" s="9">
        <f>B6-B7</f>
        <v/>
      </c>
    </row>
    <row r="10">
      <c r="A10" s="2" t="inlineStr">
        <is>
          <t>SPONSOR CASH FLOW BRIDGE</t>
        </is>
      </c>
      <c r="B10" s="3" t="n"/>
      <c r="C10" s="3" t="n"/>
    </row>
    <row r="11">
      <c r="A11" t="inlineStr">
        <is>
          <t>Sponsor Net Equity Invested (Year 0)</t>
        </is>
      </c>
      <c r="B11" s="15">
        <f>'Sources &amp; Uses'!B18</f>
        <v/>
      </c>
    </row>
    <row r="12">
      <c r="A12" t="inlineStr">
        <is>
          <t>Sponsor Ownership (post-rollover)</t>
        </is>
      </c>
      <c r="B12" s="7">
        <f>1-Assumptions!B27</f>
        <v/>
      </c>
    </row>
    <row r="13">
      <c r="A13" t="inlineStr">
        <is>
          <t>Sponsor Proceeds at Exit</t>
        </is>
      </c>
      <c r="B13" s="9">
        <f>B8*B12</f>
        <v/>
      </c>
    </row>
    <row r="15">
      <c r="A15" s="16" t="inlineStr">
        <is>
          <t>USD ($M)</t>
        </is>
      </c>
      <c r="B15" s="17" t="inlineStr">
        <is>
          <t>Year 0</t>
        </is>
      </c>
      <c r="C15" s="17" t="inlineStr">
        <is>
          <t>Year 1</t>
        </is>
      </c>
      <c r="D15" s="17" t="inlineStr">
        <is>
          <t>Year 2</t>
        </is>
      </c>
      <c r="E15" s="17" t="inlineStr">
        <is>
          <t>Year 3</t>
        </is>
      </c>
      <c r="F15" s="17" t="inlineStr">
        <is>
          <t>Year 4</t>
        </is>
      </c>
      <c r="G15" s="17" t="inlineStr">
        <is>
          <t>Year 5</t>
        </is>
      </c>
    </row>
    <row r="16">
      <c r="A16" t="inlineStr">
        <is>
          <t>Period End</t>
        </is>
      </c>
      <c r="B16" s="18" t="inlineStr">
        <is>
          <t>31-Dec-24</t>
        </is>
      </c>
      <c r="C16" s="18" t="inlineStr">
        <is>
          <t>31-Dec-25</t>
        </is>
      </c>
      <c r="D16" s="18" t="inlineStr">
        <is>
          <t>31-Dec-26</t>
        </is>
      </c>
      <c r="E16" s="18" t="inlineStr">
        <is>
          <t>31-Dec-27</t>
        </is>
      </c>
      <c r="F16" s="18" t="inlineStr">
        <is>
          <t>31-Dec-28</t>
        </is>
      </c>
      <c r="G16" s="18" t="inlineStr">
        <is>
          <t>31-Dec-29</t>
        </is>
      </c>
    </row>
    <row r="17">
      <c r="A17" t="inlineStr">
        <is>
          <t>Cash Flow Dates</t>
        </is>
      </c>
      <c r="B17" s="20" t="inlineStr">
        <is>
          <t>31-Dec-24</t>
        </is>
      </c>
      <c r="C17" s="20" t="inlineStr">
        <is>
          <t>31-Dec-25</t>
        </is>
      </c>
      <c r="D17" s="20" t="inlineStr">
        <is>
          <t>31-Dec-26</t>
        </is>
      </c>
      <c r="E17" s="20" t="inlineStr">
        <is>
          <t>31-Dec-27</t>
        </is>
      </c>
      <c r="F17" s="20" t="inlineStr">
        <is>
          <t>31-Dec-28</t>
        </is>
      </c>
      <c r="G17" s="20" t="inlineStr">
        <is>
          <t>31-Dec-29</t>
        </is>
      </c>
    </row>
    <row r="18">
      <c r="A18" t="inlineStr">
        <is>
          <t>Sponsor Net Cash Flows ($M)</t>
        </is>
      </c>
      <c r="B18" s="15">
        <f>-'Sources &amp; Uses'!B18</f>
        <v/>
      </c>
      <c r="C18" s="10" t="n">
        <v>0</v>
      </c>
      <c r="D18" s="10" t="n">
        <v>0</v>
      </c>
      <c r="E18" s="10" t="n">
        <v>0</v>
      </c>
      <c r="F18" s="10" t="n">
        <v>0</v>
      </c>
      <c r="G18" s="9">
        <f>B13</f>
        <v/>
      </c>
    </row>
    <row r="20">
      <c r="A20" t="inlineStr">
        <is>
          <t>Sponsor Gross IRR (XIRR)</t>
        </is>
      </c>
      <c r="B20" s="21">
        <f>XIRR(B18:G18,B17:G17)</f>
        <v/>
      </c>
    </row>
    <row r="21">
      <c r="A21" t="inlineStr">
        <is>
          <t>Sponsor MOIC</t>
        </is>
      </c>
      <c r="B21" s="22">
        <f>B13/B11</f>
        <v/>
      </c>
    </row>
    <row r="23">
      <c r="A23" s="2" t="inlineStr">
        <is>
          <t>VALUE CREATION BRIDGE</t>
        </is>
      </c>
      <c r="B23" s="3" t="n"/>
      <c r="C23" s="3" t="n"/>
    </row>
    <row r="24">
      <c r="A24" t="inlineStr">
        <is>
          <t>Entry EV</t>
        </is>
      </c>
      <c r="B24" s="10">
        <f>Assumptions!B20</f>
        <v/>
      </c>
    </row>
    <row r="25">
      <c r="A25" t="inlineStr">
        <is>
          <t>EBITDA Growth (Exit − Entry LTM)</t>
        </is>
      </c>
      <c r="B25" s="10">
        <f>B5-Assumptions!B13</f>
        <v/>
      </c>
    </row>
    <row r="26">
      <c r="A26" t="inlineStr">
        <is>
          <t>Net Debt Reduction (Entry − Exit)</t>
        </is>
      </c>
      <c r="B26" s="10">
        <f>Assumptions!B23-B7</f>
        <v/>
      </c>
    </row>
    <row r="27">
      <c r="A27" t="inlineStr">
        <is>
          <t>Multiple Expansion (Exit − Entry) × Exit EBITDA</t>
        </is>
      </c>
      <c r="B27" s="10">
        <f>(Assumptions!B19-Assumptions!B18)*B5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s="1" t="inlineStr">
        <is>
          <t>LBO Dashboard — Sava Industrial Co.Ltd</t>
        </is>
      </c>
    </row>
    <row r="2">
      <c r="A2" t="inlineStr">
        <is>
          <t>Aurora Capital Partners | 5-Year Hold | USD ($M)</t>
        </is>
      </c>
    </row>
    <row r="4">
      <c r="A4" s="2" t="inlineStr">
        <is>
          <t>DEAL SNAPSHOT</t>
        </is>
      </c>
      <c r="B4" s="3" t="n"/>
    </row>
    <row r="5">
      <c r="A5" t="inlineStr">
        <is>
          <t>Entry EV / EBITDA</t>
        </is>
      </c>
      <c r="B5" s="22">
        <f>Assumptions!B18</f>
        <v/>
      </c>
    </row>
    <row r="6">
      <c r="A6" t="inlineStr">
        <is>
          <t>Entry Enterprise Value</t>
        </is>
      </c>
      <c r="B6" s="9">
        <f>Assumptions!B20</f>
        <v/>
      </c>
    </row>
    <row r="7">
      <c r="A7" t="inlineStr">
        <is>
          <t>Total Debt at Close</t>
        </is>
      </c>
      <c r="B7" s="9">
        <f>Assumptions!B51</f>
        <v/>
      </c>
    </row>
    <row r="8">
      <c r="A8" t="inlineStr">
        <is>
          <t>Debt / LTM EBITDA</t>
        </is>
      </c>
      <c r="B8" s="22">
        <f>Assumptions!B52</f>
        <v/>
      </c>
    </row>
    <row r="9">
      <c r="A9" t="inlineStr">
        <is>
          <t>Sponsor Net Equity</t>
        </is>
      </c>
      <c r="B9" s="9">
        <f>'Sources &amp; Uses'!B18</f>
        <v/>
      </c>
    </row>
    <row r="10">
      <c r="A10" t="inlineStr">
        <is>
          <t>Exit EV / EBITDA</t>
        </is>
      </c>
      <c r="B10" s="22">
        <f>Assumptions!B19</f>
        <v/>
      </c>
    </row>
    <row r="11">
      <c r="A11" t="inlineStr">
        <is>
          <t>Exit Enterprise Value</t>
        </is>
      </c>
      <c r="B11" s="9">
        <f>'Returns Analysis'!B6</f>
        <v/>
      </c>
    </row>
    <row r="12">
      <c r="A12" t="inlineStr">
        <is>
          <t>Net Debt at Exit</t>
        </is>
      </c>
      <c r="B12" s="9">
        <f>'Returns Analysis'!B7</f>
        <v/>
      </c>
    </row>
    <row r="13">
      <c r="A13" t="inlineStr">
        <is>
          <t>Sponsor IRR</t>
        </is>
      </c>
      <c r="B13" s="21">
        <f>'Returns Analysis'!B20</f>
        <v/>
      </c>
    </row>
    <row r="14">
      <c r="A14" t="inlineStr">
        <is>
          <t>Sponsor MOIC</t>
        </is>
      </c>
      <c r="B14" s="22">
        <f>'Returns Analysis'!B21</f>
        <v/>
      </c>
    </row>
    <row r="16">
      <c r="A16" s="2" t="inlineStr">
        <is>
          <t>FORECAST EBITDA &amp; NET DEBT</t>
        </is>
      </c>
      <c r="B16" s="3" t="n"/>
      <c r="C16" s="3" t="n"/>
      <c r="D16" s="3" t="n"/>
      <c r="E16" s="3" t="n"/>
      <c r="F16" s="3" t="n"/>
    </row>
    <row r="17">
      <c r="A17" s="13" t="inlineStr"/>
      <c r="B17" s="13" t="inlineStr">
        <is>
          <t>Year 1</t>
        </is>
      </c>
      <c r="C17" s="13" t="inlineStr">
        <is>
          <t>Year 2</t>
        </is>
      </c>
      <c r="D17" s="13" t="inlineStr">
        <is>
          <t>Year 3</t>
        </is>
      </c>
      <c r="E17" s="13" t="inlineStr">
        <is>
          <t>Year 4</t>
        </is>
      </c>
      <c r="F17" s="13" t="inlineStr">
        <is>
          <t>Year 5</t>
        </is>
      </c>
    </row>
    <row r="18">
      <c r="A18" t="inlineStr">
        <is>
          <t>EBITDA</t>
        </is>
      </c>
      <c r="B18" s="10">
        <f>'Operating Model'!C7</f>
        <v/>
      </c>
      <c r="C18" s="10">
        <f>'Operating Model'!D7</f>
        <v/>
      </c>
      <c r="D18" s="10">
        <f>'Operating Model'!E7</f>
        <v/>
      </c>
      <c r="E18" s="10">
        <f>'Operating Model'!F7</f>
        <v/>
      </c>
      <c r="F18" s="10">
        <f>'Operating Model'!G7</f>
        <v/>
      </c>
    </row>
    <row r="19">
      <c r="A19" t="inlineStr">
        <is>
          <t>Net Debt</t>
        </is>
      </c>
      <c r="B19" s="10">
        <f>'Debt Schedule'!C37-'Cash Flow'!C20</f>
        <v/>
      </c>
      <c r="C19" s="10">
        <f>'Debt Schedule'!D37-'Cash Flow'!D20</f>
        <v/>
      </c>
      <c r="D19" s="10">
        <f>'Debt Schedule'!E37-'Cash Flow'!E20</f>
        <v/>
      </c>
      <c r="E19" s="10">
        <f>'Debt Schedule'!F37-'Cash Flow'!F20</f>
        <v/>
      </c>
      <c r="F19" s="10">
        <f>'Debt Schedule'!G37-'Cash Flow'!G20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2026-09-17T14:01:06Z</dcterms:created>
  <dcterms:modified xsi:type="dcterms:W3CDTF">2026-09-17T14:01:06Z</dcterms:modified>
</cp:coreProperties>
</file>